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sickk\OneDrive\Documents\Jeep stuff\"/>
    </mc:Choice>
  </mc:AlternateContent>
  <xr:revisionPtr revIDLastSave="0" documentId="13_ncr:1_{90B65EDB-4B25-4197-A43A-43DBD1D54A2D}" xr6:coauthVersionLast="41" xr6:coauthVersionMax="41" xr10:uidLastSave="{00000000-0000-0000-0000-000000000000}"/>
  <bookViews>
    <workbookView xWindow="-120" yWindow="-120" windowWidth="20730" windowHeight="11160" activeTab="2" xr2:uid="{00000000-000D-0000-FFFF-FFFF00000000}"/>
  </bookViews>
  <sheets>
    <sheet name="Rubicon" sheetId="1" r:id="rId1"/>
    <sheet name="Sahara" sheetId="2" r:id="rId2"/>
    <sheet name="Sport" sheetId="3" r:id="rId3"/>
  </sheets>
  <definedNames>
    <definedName name="_xlnm.Print_Area" localSheetId="0">Rubicon!$A$1:$H$55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3" i="3" l="1"/>
  <c r="E32" i="3"/>
  <c r="E31" i="3"/>
  <c r="E43" i="2"/>
  <c r="E42" i="2"/>
  <c r="E41" i="2"/>
  <c r="E40" i="2"/>
  <c r="E49" i="3"/>
  <c r="C49" i="3"/>
  <c r="E47" i="3"/>
  <c r="C47" i="3"/>
  <c r="C48" i="3" s="1"/>
  <c r="E37" i="3"/>
  <c r="C37" i="3"/>
  <c r="E46" i="2"/>
  <c r="E61" i="2"/>
  <c r="C61" i="2"/>
  <c r="E59" i="2"/>
  <c r="C59" i="2"/>
  <c r="C60" i="2" s="1"/>
  <c r="C62" i="2" s="1"/>
  <c r="E49" i="2"/>
  <c r="C49" i="2"/>
  <c r="E9" i="1"/>
  <c r="C9" i="1"/>
  <c r="E35" i="1"/>
  <c r="E37" i="1"/>
  <c r="E36" i="1"/>
  <c r="E52" i="1"/>
  <c r="C52" i="1"/>
  <c r="C53" i="1" s="1"/>
  <c r="C54" i="1" s="1"/>
  <c r="E42" i="1"/>
  <c r="C42" i="1"/>
  <c r="C50" i="3" l="1"/>
  <c r="C55" i="1"/>
  <c r="E40" i="1"/>
  <c r="E47" i="2"/>
  <c r="E11" i="2"/>
  <c r="E6" i="2"/>
  <c r="E19" i="2"/>
  <c r="E30" i="2"/>
  <c r="E31" i="2"/>
  <c r="E33" i="1"/>
  <c r="E13" i="1"/>
  <c r="E17" i="1"/>
  <c r="E27" i="1" l="1"/>
  <c r="E26" i="1"/>
  <c r="E22" i="1"/>
  <c r="E16" i="1"/>
  <c r="E6" i="1"/>
  <c r="E10" i="1"/>
  <c r="E8" i="1"/>
  <c r="E5" i="1"/>
  <c r="E26" i="2"/>
  <c r="E21" i="2"/>
  <c r="E20" i="2"/>
  <c r="E14" i="2"/>
  <c r="E13" i="2"/>
  <c r="E8" i="2"/>
  <c r="E29" i="3"/>
  <c r="E21" i="3"/>
  <c r="E20" i="3"/>
  <c r="E16" i="3"/>
  <c r="E14" i="3"/>
  <c r="E13" i="3"/>
  <c r="E9" i="3"/>
  <c r="E6" i="3"/>
  <c r="E20" i="1" l="1"/>
  <c r="E15" i="1"/>
  <c r="E14" i="1"/>
  <c r="E12" i="3"/>
  <c r="E11" i="3"/>
  <c r="E18" i="2"/>
  <c r="E24" i="2"/>
  <c r="E17" i="2"/>
  <c r="E36" i="2" l="1"/>
  <c r="E16" i="2"/>
  <c r="E5" i="2"/>
  <c r="E32" i="1" l="1"/>
  <c r="E35" i="2"/>
  <c r="E27" i="3"/>
  <c r="C3" i="3" l="1"/>
  <c r="E4" i="3"/>
  <c r="E15" i="2"/>
  <c r="E4" i="2"/>
  <c r="E12" i="1"/>
  <c r="E4" i="1"/>
  <c r="E11" i="1" l="1"/>
  <c r="E30" i="3"/>
  <c r="E28" i="3"/>
  <c r="E26" i="3"/>
  <c r="E25" i="3"/>
  <c r="E24" i="3"/>
  <c r="E23" i="3"/>
  <c r="E22" i="3"/>
  <c r="E19" i="3"/>
  <c r="E18" i="3"/>
  <c r="E17" i="3"/>
  <c r="E15" i="3"/>
  <c r="E10" i="3"/>
  <c r="C10" i="3"/>
  <c r="C36" i="3" s="1"/>
  <c r="C38" i="3" s="1"/>
  <c r="E8" i="3"/>
  <c r="E7" i="3"/>
  <c r="E5" i="3"/>
  <c r="E3" i="3"/>
  <c r="B43" i="3" l="1"/>
  <c r="B39" i="3"/>
  <c r="B42" i="3"/>
  <c r="B40" i="3"/>
  <c r="B45" i="3"/>
  <c r="B46" i="3"/>
  <c r="B41" i="3"/>
  <c r="B44" i="3"/>
  <c r="E36" i="3"/>
  <c r="E38" i="3" s="1"/>
  <c r="E48" i="3" s="1"/>
  <c r="E50" i="3" s="1"/>
  <c r="E39" i="2"/>
  <c r="E38" i="2"/>
  <c r="E34" i="2"/>
  <c r="E33" i="2"/>
  <c r="E32" i="2"/>
  <c r="E28" i="2"/>
  <c r="E27" i="2"/>
  <c r="E25" i="2"/>
  <c r="E23" i="2"/>
  <c r="E22" i="2"/>
  <c r="E12" i="2"/>
  <c r="C12" i="2"/>
  <c r="C48" i="2" s="1"/>
  <c r="C50" i="2" s="1"/>
  <c r="E10" i="2"/>
  <c r="E9" i="2"/>
  <c r="E7" i="2"/>
  <c r="E3" i="2"/>
  <c r="E48" i="2" l="1"/>
  <c r="E50" i="2" s="1"/>
  <c r="E60" i="2" s="1"/>
  <c r="E62" i="2" s="1"/>
  <c r="B54" i="2"/>
  <c r="B53" i="2"/>
  <c r="B57" i="2"/>
  <c r="B52" i="2"/>
  <c r="B56" i="2"/>
  <c r="B58" i="2"/>
  <c r="B51" i="2"/>
  <c r="B55" i="2"/>
  <c r="E39" i="1"/>
  <c r="E34" i="1"/>
  <c r="E31" i="1"/>
  <c r="E30" i="1"/>
  <c r="E29" i="1"/>
  <c r="E28" i="1"/>
  <c r="E24" i="1"/>
  <c r="E23" i="1"/>
  <c r="E21" i="1"/>
  <c r="E19" i="1"/>
  <c r="E18" i="1"/>
  <c r="E7" i="1"/>
  <c r="E3" i="1"/>
  <c r="C41" i="1" l="1"/>
  <c r="C43" i="1" s="1"/>
  <c r="B50" i="1" s="1"/>
  <c r="E41" i="1"/>
  <c r="E43" i="1" s="1"/>
  <c r="E53" i="1" s="1"/>
  <c r="E54" i="1" l="1"/>
  <c r="E55" i="1" s="1"/>
  <c r="B47" i="1"/>
  <c r="B45" i="1"/>
  <c r="B51" i="1"/>
  <c r="B49" i="1"/>
  <c r="B46" i="1"/>
  <c r="B44" i="1"/>
  <c r="B48" i="1"/>
</calcChain>
</file>

<file path=xl/sharedStrings.xml><?xml version="1.0" encoding="utf-8"?>
<sst xmlns="http://schemas.openxmlformats.org/spreadsheetml/2006/main" count="354" uniqueCount="158">
  <si>
    <t>Option</t>
  </si>
  <si>
    <t>Invoice price</t>
  </si>
  <si>
    <t>MSRP</t>
  </si>
  <si>
    <t>JLJS74</t>
  </si>
  <si>
    <t>8 Speed Auto</t>
  </si>
  <si>
    <t>w/AEN</t>
  </si>
  <si>
    <t>N/C</t>
  </si>
  <si>
    <t>Body Colored 3 Piece HT</t>
  </si>
  <si>
    <t>Black 3 Piece Hard Top</t>
  </si>
  <si>
    <t>17x17.5 Black Wheels w/pol. Lip</t>
  </si>
  <si>
    <t>Alpine Primium Audio</t>
  </si>
  <si>
    <t>Body Colored Fender Flares</t>
  </si>
  <si>
    <t>Man. Code</t>
  </si>
  <si>
    <t>JL Rubicon Unlimited</t>
  </si>
  <si>
    <t>24R</t>
  </si>
  <si>
    <t>WLD</t>
  </si>
  <si>
    <t>RC4</t>
  </si>
  <si>
    <t>HT1</t>
  </si>
  <si>
    <t>HT3</t>
  </si>
  <si>
    <t>MM3</t>
  </si>
  <si>
    <t>Cold Weather Group</t>
  </si>
  <si>
    <t>w/Manual Transmission</t>
  </si>
  <si>
    <t>ADE</t>
  </si>
  <si>
    <t>Dual Top Group</t>
  </si>
  <si>
    <t>AEN</t>
  </si>
  <si>
    <t>Electronic Infotainment</t>
  </si>
  <si>
    <t>AEK</t>
  </si>
  <si>
    <t>LED Lighting Group</t>
  </si>
  <si>
    <t>AD6</t>
  </si>
  <si>
    <t>Remote Proximity Keyless</t>
  </si>
  <si>
    <t>GXD</t>
  </si>
  <si>
    <t>Safety Group</t>
  </si>
  <si>
    <t>XBM</t>
  </si>
  <si>
    <t>w/AD6</t>
  </si>
  <si>
    <t>Tow/Heavy Duty Electronic Gp</t>
  </si>
  <si>
    <t>ADH</t>
  </si>
  <si>
    <t>Engine Block Heater</t>
  </si>
  <si>
    <t>NHK</t>
  </si>
  <si>
    <t>w/ADE</t>
  </si>
  <si>
    <t>Jeep Trail Rated Kit</t>
  </si>
  <si>
    <t>XWX</t>
  </si>
  <si>
    <t>Included</t>
  </si>
  <si>
    <t>Premium Black Sun. Soft Top</t>
  </si>
  <si>
    <t>STB</t>
  </si>
  <si>
    <t>Smoker's Group</t>
  </si>
  <si>
    <t>AWS</t>
  </si>
  <si>
    <t>Soft Top Window Stor. Bag</t>
  </si>
  <si>
    <t>CWJ</t>
  </si>
  <si>
    <t>Steel Bumpers</t>
  </si>
  <si>
    <t>AST</t>
  </si>
  <si>
    <t>Mopar All Season Floor Mats</t>
  </si>
  <si>
    <t>CWA</t>
  </si>
  <si>
    <t>Hard Top Headliner</t>
  </si>
  <si>
    <t>CHD</t>
  </si>
  <si>
    <t>Premium Cloth Interior</t>
  </si>
  <si>
    <t>D5X9</t>
  </si>
  <si>
    <t>Leather Interior, Black</t>
  </si>
  <si>
    <t>ALX9</t>
  </si>
  <si>
    <t>w/Heritage Tan</t>
  </si>
  <si>
    <t>ALT5</t>
  </si>
  <si>
    <t>Total</t>
  </si>
  <si>
    <t>Destination Charge</t>
  </si>
  <si>
    <t>Enter Tax Rate (as a decimal)</t>
  </si>
  <si>
    <t>1% Below Invoice</t>
  </si>
  <si>
    <t>2% Below invoice</t>
  </si>
  <si>
    <t>3% Below Invoice</t>
  </si>
  <si>
    <t>4% Below invoice</t>
  </si>
  <si>
    <t>5% below invoice</t>
  </si>
  <si>
    <t>Trade In Value</t>
  </si>
  <si>
    <t>Enter Trade In value</t>
  </si>
  <si>
    <t>Example: 6.5%=.065</t>
  </si>
  <si>
    <t>Enter one discounted price</t>
  </si>
  <si>
    <t>Enter Invoice Price for each option</t>
  </si>
  <si>
    <t>you select</t>
  </si>
  <si>
    <t>Enter Tax Rate as a decimal</t>
  </si>
  <si>
    <t>JL Sahara Unlimited</t>
  </si>
  <si>
    <t>JLJP74</t>
  </si>
  <si>
    <t>18x17.5 Tech Gray Polished Whl</t>
  </si>
  <si>
    <t>WPT</t>
  </si>
  <si>
    <t>2.72:1 Select Trac 4WD*</t>
  </si>
  <si>
    <t>DHP</t>
  </si>
  <si>
    <t>*Requires Anti-Spin Rear Dif (DSA)</t>
  </si>
  <si>
    <t>Anit-Spin Rear Differential</t>
  </si>
  <si>
    <t>DSA</t>
  </si>
  <si>
    <t>AJ1</t>
  </si>
  <si>
    <t>Cloth Low Back Bucket Seats</t>
  </si>
  <si>
    <t>T7X9</t>
  </si>
  <si>
    <t>w/ Heritage Tan</t>
  </si>
  <si>
    <t>T7T5</t>
  </si>
  <si>
    <t>CLX9</t>
  </si>
  <si>
    <t>CLT5</t>
  </si>
  <si>
    <t>JL Sport Unlimited</t>
  </si>
  <si>
    <t>JLJL74</t>
  </si>
  <si>
    <t>24B</t>
  </si>
  <si>
    <t>Fill in blue section w/invoice price</t>
  </si>
  <si>
    <t>Sport S Package</t>
  </si>
  <si>
    <t>23S</t>
  </si>
  <si>
    <t>for your desired options</t>
  </si>
  <si>
    <t>17x17.5 Polished Granite Whls</t>
  </si>
  <si>
    <t>WBG</t>
  </si>
  <si>
    <t>Requires Sport Package</t>
  </si>
  <si>
    <t>Alpine Premium Audio</t>
  </si>
  <si>
    <t>Anti-Spin Rear Differential</t>
  </si>
  <si>
    <t>Requires ADC</t>
  </si>
  <si>
    <t>Convenience Group</t>
  </si>
  <si>
    <t>ADC</t>
  </si>
  <si>
    <t>W/ADE and/or DEM</t>
  </si>
  <si>
    <t>Deep Tint Sunscreen Windows</t>
  </si>
  <si>
    <t>GCD</t>
  </si>
  <si>
    <t>Included W/Sport Package</t>
  </si>
  <si>
    <t>SiriusXM Satellite Radio</t>
  </si>
  <si>
    <t>RSD</t>
  </si>
  <si>
    <t>Technology Group</t>
  </si>
  <si>
    <t>AAN</t>
  </si>
  <si>
    <t>Tubular Side Steps</t>
  </si>
  <si>
    <t>MRK</t>
  </si>
  <si>
    <t>Cloth Low Back Bucket Seats, Black</t>
  </si>
  <si>
    <t>A7X9</t>
  </si>
  <si>
    <t>A7T5</t>
  </si>
  <si>
    <t>Sky One Touch Retrac. Roof</t>
  </si>
  <si>
    <t xml:space="preserve">w/ADE </t>
  </si>
  <si>
    <t>Remote Start (req. 24R)</t>
  </si>
  <si>
    <t>2.0 BSG Turbo*</t>
  </si>
  <si>
    <t>*Requires 8 Speed Auto (24R)</t>
  </si>
  <si>
    <t>28G</t>
  </si>
  <si>
    <t>24G</t>
  </si>
  <si>
    <t>28B</t>
  </si>
  <si>
    <t>*Requires 8 Speed Auto (24B)</t>
  </si>
  <si>
    <t>Trail Rail Mgt. System</t>
  </si>
  <si>
    <t>CMD</t>
  </si>
  <si>
    <t>CDM</t>
  </si>
  <si>
    <t>UConnect 4 NAV w/8.4 disp</t>
  </si>
  <si>
    <t>w/AEK</t>
  </si>
  <si>
    <t>UJQ</t>
  </si>
  <si>
    <t>28R</t>
  </si>
  <si>
    <t>MOAB package</t>
  </si>
  <si>
    <t>STJ</t>
  </si>
  <si>
    <t>w/MOAB</t>
  </si>
  <si>
    <t>Premium Tan Sun. Soft Top</t>
  </si>
  <si>
    <t>N/A</t>
  </si>
  <si>
    <t>Advanced SFT Group</t>
  </si>
  <si>
    <t>*Requires Safety Group (AJ1)</t>
  </si>
  <si>
    <t>ALP</t>
  </si>
  <si>
    <t>Advanced Sft Group</t>
  </si>
  <si>
    <t>STC</t>
  </si>
  <si>
    <t>*appx $500 savings plus hood/bumper combo/wheels</t>
  </si>
  <si>
    <t>Total pre-discount</t>
  </si>
  <si>
    <t>6% below invoice</t>
  </si>
  <si>
    <t>7% below invoice</t>
  </si>
  <si>
    <t>8% below invoice</t>
  </si>
  <si>
    <t>Pre-Tax total</t>
  </si>
  <si>
    <t>Hinge Gate Reinforcement</t>
  </si>
  <si>
    <t>XDB</t>
  </si>
  <si>
    <t>Perforted Leather</t>
  </si>
  <si>
    <t>Stitched Leather</t>
  </si>
  <si>
    <t>CBQ</t>
  </si>
  <si>
    <t>CBS</t>
  </si>
  <si>
    <t>8.4" Radio and Prem. Audio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</si>
</sst>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45066682943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2" borderId="1" xfId="0" applyFont="1" applyFill="1" applyBorder="1"/>
    <xf numFmtId="0" fontId="1" fillId="8" borderId="1" xfId="0" applyFont="1" applyFill="1" applyBorder="1"/>
    <xf numFmtId="0" fontId="1" fillId="8" borderId="1" xfId="0" applyFont="1" applyFill="1" applyBorder="1" applyAlignment="1">
      <alignment horizontal="right"/>
    </xf>
    <xf numFmtId="0" fontId="1" fillId="8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9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7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2" fillId="8" borderId="1" xfId="0" applyFont="1" applyFill="1" applyBorder="1"/>
    <xf numFmtId="0" fontId="2" fillId="0" borderId="1" xfId="0" applyFont="1" applyBorder="1"/>
    <xf numFmtId="0" fontId="2" fillId="7" borderId="1" xfId="0" applyFont="1" applyFill="1" applyBorder="1"/>
    <xf numFmtId="0" fontId="1" fillId="7" borderId="1" xfId="0" applyFont="1" applyFill="1" applyBorder="1" applyProtection="1">
      <protection locked="0"/>
    </xf>
    <xf numFmtId="0" fontId="1" fillId="5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1" fillId="6" borderId="1" xfId="0" applyFont="1" applyFill="1" applyBorder="1" applyProtection="1">
      <protection locked="0"/>
    </xf>
    <xf numFmtId="0" fontId="1" fillId="10" borderId="1" xfId="0" applyFont="1" applyFill="1" applyBorder="1"/>
    <xf numFmtId="0" fontId="1" fillId="10" borderId="1" xfId="0" applyFont="1" applyFill="1" applyBorder="1" applyProtection="1">
      <protection locked="0"/>
    </xf>
    <xf numFmtId="0" fontId="1" fillId="10" borderId="0" xfId="0" applyFont="1" applyFill="1"/>
    <xf numFmtId="0" fontId="1" fillId="3" borderId="0" xfId="0" applyFont="1" applyFill="1" applyAlignment="1">
      <alignment horizontal="center"/>
    </xf>
    <xf numFmtId="0" fontId="1" fillId="8" borderId="1" xfId="0" applyFont="1" applyFill="1" applyBorder="1" applyAlignment="1">
      <alignment horizontal="right" indent="1"/>
    </xf>
    <xf numFmtId="0" fontId="1" fillId="10" borderId="0" xfId="0" applyFont="1" applyFill="1" applyAlignment="1">
      <alignment horizontal="center"/>
    </xf>
    <xf numFmtId="0" fontId="1" fillId="11" borderId="1" xfId="0" applyFont="1" applyFill="1" applyBorder="1"/>
    <xf numFmtId="0" fontId="1" fillId="11" borderId="0" xfId="0" applyFont="1" applyFill="1"/>
    <xf numFmtId="0" fontId="1" fillId="2" borderId="1" xfId="0" applyFont="1" applyFill="1" applyBorder="1" applyProtection="1">
      <protection locked="0"/>
    </xf>
    <xf numFmtId="0" fontId="1" fillId="2" borderId="0" xfId="0" applyFont="1" applyFill="1"/>
    <xf numFmtId="0" fontId="1" fillId="12" borderId="1" xfId="0" applyFont="1" applyFill="1" applyBorder="1"/>
    <xf numFmtId="0" fontId="1" fillId="12" borderId="1" xfId="0" applyFont="1" applyFill="1" applyBorder="1" applyProtection="1">
      <protection locked="0"/>
    </xf>
    <xf numFmtId="0" fontId="1" fillId="12" borderId="0" xfId="0" applyFont="1" applyFill="1"/>
    <xf numFmtId="0" fontId="0" fillId="12" borderId="0" xfId="0" applyFill="1"/>
    <xf numFmtId="0" fontId="1" fillId="2" borderId="0" xfId="0" applyFont="1" applyFill="1" applyAlignment="1">
      <alignment horizontal="left"/>
    </xf>
    <xf numFmtId="0" fontId="1" fillId="0" borderId="1" xfId="0" applyFont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5"/>
  <sheetViews>
    <sheetView topLeftCell="A33" workbookViewId="0">
      <selection activeCell="B54" sqref="B54"/>
    </sheetView>
  </sheetViews>
  <sheetFormatPr defaultRowHeight="15" x14ac:dyDescent="0.25"/>
  <cols>
    <col min="1" max="1" width="27.5703125" style="2" customWidth="1"/>
    <col min="2" max="2" width="12.28515625" style="2" customWidth="1"/>
    <col min="3" max="7" width="9.140625" style="2"/>
    <col min="8" max="8" width="36" style="2" customWidth="1"/>
    <col min="9" max="16384" width="9.140625" style="2"/>
  </cols>
  <sheetData>
    <row r="1" spans="1:8" x14ac:dyDescent="0.25">
      <c r="A1" s="3" t="s">
        <v>0</v>
      </c>
      <c r="B1" s="3" t="s">
        <v>1</v>
      </c>
      <c r="C1" s="1"/>
      <c r="D1" s="3" t="s">
        <v>2</v>
      </c>
      <c r="E1" s="1"/>
      <c r="F1" s="1"/>
      <c r="G1" s="3" t="s">
        <v>12</v>
      </c>
    </row>
    <row r="2" spans="1:8" ht="29.25" customHeight="1" x14ac:dyDescent="0.35">
      <c r="A2" s="15" t="s">
        <v>13</v>
      </c>
      <c r="B2" s="16">
        <v>39576</v>
      </c>
      <c r="C2" s="17">
        <v>39576</v>
      </c>
      <c r="D2" s="16">
        <v>41545</v>
      </c>
      <c r="E2" s="16">
        <v>41545</v>
      </c>
      <c r="F2" s="16"/>
      <c r="G2" s="16" t="s">
        <v>3</v>
      </c>
    </row>
    <row r="3" spans="1:8" x14ac:dyDescent="0.25">
      <c r="A3" s="4" t="s">
        <v>4</v>
      </c>
      <c r="B3" s="1">
        <v>1780</v>
      </c>
      <c r="C3" s="18"/>
      <c r="D3" s="1">
        <v>2000</v>
      </c>
      <c r="E3" s="1">
        <f>IF(C3,2000,0)</f>
        <v>0</v>
      </c>
      <c r="F3" s="1"/>
      <c r="G3" s="1" t="s">
        <v>14</v>
      </c>
    </row>
    <row r="4" spans="1:8" s="34" customFormat="1" x14ac:dyDescent="0.25">
      <c r="A4" s="32" t="s">
        <v>122</v>
      </c>
      <c r="B4" s="32">
        <v>890</v>
      </c>
      <c r="C4" s="33"/>
      <c r="D4" s="32">
        <v>1000</v>
      </c>
      <c r="E4" s="32">
        <f>IF(C4,1000,0)</f>
        <v>0</v>
      </c>
      <c r="F4" s="32"/>
      <c r="G4" s="32" t="s">
        <v>134</v>
      </c>
      <c r="H4" s="34" t="s">
        <v>123</v>
      </c>
    </row>
    <row r="5" spans="1:8" x14ac:dyDescent="0.25">
      <c r="A5" s="4" t="s">
        <v>9</v>
      </c>
      <c r="B5" s="1">
        <v>886</v>
      </c>
      <c r="C5" s="18"/>
      <c r="D5" s="1">
        <v>995</v>
      </c>
      <c r="E5" s="1">
        <f>IF(C5,995,0)</f>
        <v>0</v>
      </c>
      <c r="F5" s="1"/>
      <c r="G5" s="1" t="s">
        <v>15</v>
      </c>
    </row>
    <row r="6" spans="1:8" x14ac:dyDescent="0.25">
      <c r="A6" s="3" t="s">
        <v>143</v>
      </c>
      <c r="B6" s="3">
        <v>708</v>
      </c>
      <c r="C6" s="30"/>
      <c r="D6" s="3">
        <v>795</v>
      </c>
      <c r="E6" s="3">
        <f>IF(C6,795,0)</f>
        <v>0</v>
      </c>
      <c r="F6" s="3"/>
      <c r="G6" s="3" t="s">
        <v>142</v>
      </c>
      <c r="H6" s="31" t="s">
        <v>141</v>
      </c>
    </row>
    <row r="7" spans="1:8" x14ac:dyDescent="0.25">
      <c r="A7" s="4" t="s">
        <v>10</v>
      </c>
      <c r="B7" s="1">
        <v>1153</v>
      </c>
      <c r="C7" s="18"/>
      <c r="D7" s="1">
        <v>1295</v>
      </c>
      <c r="E7" s="1">
        <f>IF(C7,1295,0)</f>
        <v>0</v>
      </c>
      <c r="F7" s="1"/>
      <c r="G7" s="1" t="s">
        <v>16</v>
      </c>
    </row>
    <row r="8" spans="1:8" x14ac:dyDescent="0.25">
      <c r="A8" s="4" t="s">
        <v>8</v>
      </c>
      <c r="B8" s="1">
        <v>1064</v>
      </c>
      <c r="C8" s="18"/>
      <c r="D8" s="1">
        <v>1195</v>
      </c>
      <c r="E8" s="1">
        <f>IF(C8,1195,0)</f>
        <v>0</v>
      </c>
      <c r="F8" s="1"/>
      <c r="G8" s="1" t="s">
        <v>17</v>
      </c>
    </row>
    <row r="9" spans="1:8" x14ac:dyDescent="0.25">
      <c r="A9" s="5" t="s">
        <v>5</v>
      </c>
      <c r="B9" s="10" t="s">
        <v>6</v>
      </c>
      <c r="C9" s="18" t="str">
        <f>IF(C16,0,"N/C")</f>
        <v>N/C</v>
      </c>
      <c r="D9" s="10" t="s">
        <v>6</v>
      </c>
      <c r="E9" s="1" t="str">
        <f>IF(C16,0,"N/C")</f>
        <v>N/C</v>
      </c>
      <c r="F9" s="1"/>
      <c r="G9" s="1" t="s">
        <v>17</v>
      </c>
    </row>
    <row r="10" spans="1:8" x14ac:dyDescent="0.25">
      <c r="A10" s="4" t="s">
        <v>7</v>
      </c>
      <c r="B10" s="1">
        <v>1954</v>
      </c>
      <c r="C10" s="18"/>
      <c r="D10" s="1">
        <v>2195</v>
      </c>
      <c r="E10" s="1">
        <f>IF(C10,2195,0)</f>
        <v>0</v>
      </c>
      <c r="F10" s="1"/>
      <c r="G10" s="1" t="s">
        <v>18</v>
      </c>
    </row>
    <row r="11" spans="1:8" x14ac:dyDescent="0.25">
      <c r="A11" s="5" t="s">
        <v>5</v>
      </c>
      <c r="B11" s="1">
        <v>1157</v>
      </c>
      <c r="C11" s="18"/>
      <c r="D11" s="1">
        <v>1300</v>
      </c>
      <c r="E11" s="1" t="str">
        <f>IF(C11,1200,"N/A")</f>
        <v>N/A</v>
      </c>
      <c r="F11" s="1"/>
      <c r="G11" s="1" t="s">
        <v>18</v>
      </c>
    </row>
    <row r="12" spans="1:8" x14ac:dyDescent="0.25">
      <c r="A12" s="6" t="s">
        <v>119</v>
      </c>
      <c r="B12" s="1">
        <v>3556</v>
      </c>
      <c r="C12" s="18"/>
      <c r="D12" s="1">
        <v>3995</v>
      </c>
      <c r="E12" s="1">
        <f>IF(C12,3995,0)</f>
        <v>0</v>
      </c>
      <c r="F12" s="1"/>
      <c r="G12" s="1" t="s">
        <v>136</v>
      </c>
      <c r="H12" s="11" t="s">
        <v>72</v>
      </c>
    </row>
    <row r="13" spans="1:8" x14ac:dyDescent="0.25">
      <c r="A13" s="4" t="s">
        <v>11</v>
      </c>
      <c r="B13" s="1">
        <v>441</v>
      </c>
      <c r="C13" s="18"/>
      <c r="D13" s="1">
        <v>495</v>
      </c>
      <c r="E13" s="1">
        <f>IF(C13,495,0)</f>
        <v>0</v>
      </c>
      <c r="F13" s="1"/>
      <c r="G13" s="1" t="s">
        <v>19</v>
      </c>
      <c r="H13" s="11" t="s">
        <v>73</v>
      </c>
    </row>
    <row r="14" spans="1:8" x14ac:dyDescent="0.25">
      <c r="A14" s="6" t="s">
        <v>20</v>
      </c>
      <c r="B14" s="1">
        <v>886</v>
      </c>
      <c r="C14" s="18"/>
      <c r="D14" s="1">
        <v>995</v>
      </c>
      <c r="E14" s="1">
        <f>IF(C14,995,0)</f>
        <v>0</v>
      </c>
      <c r="F14" s="1"/>
      <c r="G14" s="1" t="s">
        <v>22</v>
      </c>
    </row>
    <row r="15" spans="1:8" x14ac:dyDescent="0.25">
      <c r="A15" s="5" t="s">
        <v>21</v>
      </c>
      <c r="B15" s="1">
        <v>616</v>
      </c>
      <c r="C15" s="18"/>
      <c r="D15" s="1">
        <v>695</v>
      </c>
      <c r="E15" s="1">
        <f>IF(C15,695,0)</f>
        <v>0</v>
      </c>
      <c r="F15" s="1"/>
      <c r="G15" s="1" t="s">
        <v>22</v>
      </c>
    </row>
    <row r="16" spans="1:8" x14ac:dyDescent="0.25">
      <c r="A16" s="4" t="s">
        <v>23</v>
      </c>
      <c r="B16" s="1">
        <v>2043</v>
      </c>
      <c r="C16" s="18"/>
      <c r="D16" s="1">
        <v>2295</v>
      </c>
      <c r="E16" s="1">
        <f>IF(C16,2295,0)</f>
        <v>0</v>
      </c>
      <c r="F16" s="1"/>
      <c r="G16" s="1" t="s">
        <v>24</v>
      </c>
    </row>
    <row r="17" spans="1:7" x14ac:dyDescent="0.25">
      <c r="A17" s="4" t="s">
        <v>157</v>
      </c>
      <c r="B17" s="1">
        <v>1420</v>
      </c>
      <c r="C17" s="18"/>
      <c r="D17" s="1">
        <v>1595</v>
      </c>
      <c r="E17" s="1">
        <f>IF(C17,1595,0)</f>
        <v>0</v>
      </c>
      <c r="F17" s="1"/>
      <c r="G17" s="1" t="s">
        <v>26</v>
      </c>
    </row>
    <row r="18" spans="1:7" x14ac:dyDescent="0.25">
      <c r="A18" s="4" t="s">
        <v>36</v>
      </c>
      <c r="B18" s="1">
        <v>85</v>
      </c>
      <c r="C18" s="18"/>
      <c r="D18" s="1">
        <v>95</v>
      </c>
      <c r="E18" s="1">
        <f>IF(C18,95,0)</f>
        <v>0</v>
      </c>
      <c r="F18" s="1"/>
      <c r="G18" s="1" t="s">
        <v>37</v>
      </c>
    </row>
    <row r="19" spans="1:7" x14ac:dyDescent="0.25">
      <c r="A19" s="4" t="s">
        <v>39</v>
      </c>
      <c r="B19" s="1">
        <v>174</v>
      </c>
      <c r="C19" s="18"/>
      <c r="D19" s="1">
        <v>195</v>
      </c>
      <c r="E19" s="1">
        <f>IF(C19,195,0)</f>
        <v>0</v>
      </c>
      <c r="F19" s="1"/>
      <c r="G19" s="1" t="s">
        <v>40</v>
      </c>
    </row>
    <row r="20" spans="1:7" x14ac:dyDescent="0.25">
      <c r="A20" s="4" t="s">
        <v>27</v>
      </c>
      <c r="B20" s="1">
        <v>886</v>
      </c>
      <c r="C20" s="18"/>
      <c r="D20" s="1">
        <v>995</v>
      </c>
      <c r="E20" s="1">
        <f>IF(C20,995,0)</f>
        <v>0</v>
      </c>
      <c r="F20" s="1"/>
      <c r="G20" s="1" t="s">
        <v>28</v>
      </c>
    </row>
    <row r="21" spans="1:7" x14ac:dyDescent="0.25">
      <c r="A21" s="4" t="s">
        <v>42</v>
      </c>
      <c r="B21" s="1">
        <v>530</v>
      </c>
      <c r="C21" s="18"/>
      <c r="D21" s="1">
        <v>595</v>
      </c>
      <c r="E21" s="1">
        <f>IF(C21,595,0)</f>
        <v>0</v>
      </c>
      <c r="F21" s="1"/>
      <c r="G21" s="1" t="s">
        <v>43</v>
      </c>
    </row>
    <row r="22" spans="1:7" x14ac:dyDescent="0.25">
      <c r="A22" s="4" t="s">
        <v>138</v>
      </c>
      <c r="B22" s="1">
        <v>708</v>
      </c>
      <c r="C22" s="18"/>
      <c r="D22" s="1">
        <v>795</v>
      </c>
      <c r="E22" s="1">
        <f>IF(C22,795,0)</f>
        <v>0</v>
      </c>
      <c r="F22" s="1"/>
      <c r="G22" s="1" t="s">
        <v>144</v>
      </c>
    </row>
    <row r="23" spans="1:7" x14ac:dyDescent="0.25">
      <c r="A23" s="4" t="s">
        <v>29</v>
      </c>
      <c r="B23" s="1">
        <v>441</v>
      </c>
      <c r="C23" s="18"/>
      <c r="D23" s="1">
        <v>495</v>
      </c>
      <c r="E23" s="1">
        <f>IF(C23,495,0)</f>
        <v>0</v>
      </c>
      <c r="F23" s="1"/>
      <c r="G23" s="1" t="s">
        <v>30</v>
      </c>
    </row>
    <row r="24" spans="1:7" x14ac:dyDescent="0.25">
      <c r="A24" s="4" t="s">
        <v>121</v>
      </c>
      <c r="B24" s="1">
        <v>441</v>
      </c>
      <c r="C24" s="18"/>
      <c r="D24" s="1">
        <v>495</v>
      </c>
      <c r="E24" s="1">
        <f>IF(C24,495,0)</f>
        <v>0</v>
      </c>
      <c r="F24" s="1"/>
      <c r="G24" s="1" t="s">
        <v>32</v>
      </c>
    </row>
    <row r="25" spans="1:7" x14ac:dyDescent="0.25">
      <c r="A25" s="5" t="s">
        <v>120</v>
      </c>
      <c r="B25" s="10" t="s">
        <v>41</v>
      </c>
      <c r="C25" s="18"/>
      <c r="D25" s="10" t="s">
        <v>41</v>
      </c>
      <c r="E25" s="1"/>
      <c r="F25" s="1"/>
      <c r="G25" s="1"/>
    </row>
    <row r="26" spans="1:7" x14ac:dyDescent="0.25">
      <c r="A26" s="4" t="s">
        <v>31</v>
      </c>
      <c r="B26" s="1">
        <v>886</v>
      </c>
      <c r="C26" s="18"/>
      <c r="D26" s="1">
        <v>995</v>
      </c>
      <c r="E26" s="1">
        <f>IF(C26,995,0)</f>
        <v>0</v>
      </c>
      <c r="F26" s="1"/>
      <c r="G26" s="1" t="s">
        <v>84</v>
      </c>
    </row>
    <row r="27" spans="1:7" x14ac:dyDescent="0.25">
      <c r="A27" s="5" t="s">
        <v>33</v>
      </c>
      <c r="B27" s="1">
        <v>797</v>
      </c>
      <c r="C27" s="18"/>
      <c r="D27" s="1">
        <v>895</v>
      </c>
      <c r="E27" s="1">
        <f>IF(C27,895,0)</f>
        <v>0</v>
      </c>
      <c r="F27" s="1"/>
      <c r="G27" s="1" t="s">
        <v>84</v>
      </c>
    </row>
    <row r="28" spans="1:7" x14ac:dyDescent="0.25">
      <c r="A28" s="6" t="s">
        <v>44</v>
      </c>
      <c r="B28" s="1">
        <v>27</v>
      </c>
      <c r="C28" s="18"/>
      <c r="D28" s="1">
        <v>30</v>
      </c>
      <c r="E28" s="1">
        <f>IF(C28,30,0)</f>
        <v>0</v>
      </c>
      <c r="F28" s="1"/>
      <c r="G28" s="1" t="s">
        <v>45</v>
      </c>
    </row>
    <row r="29" spans="1:7" x14ac:dyDescent="0.25">
      <c r="A29" s="6" t="s">
        <v>46</v>
      </c>
      <c r="B29" s="1">
        <v>67</v>
      </c>
      <c r="C29" s="18"/>
      <c r="D29" s="1">
        <v>75</v>
      </c>
      <c r="E29" s="1">
        <f>IF(C29,75,0)</f>
        <v>0</v>
      </c>
      <c r="F29" s="1"/>
      <c r="G29" s="1" t="s">
        <v>47</v>
      </c>
    </row>
    <row r="30" spans="1:7" x14ac:dyDescent="0.25">
      <c r="A30" s="6" t="s">
        <v>48</v>
      </c>
      <c r="B30" s="1">
        <v>1153</v>
      </c>
      <c r="C30" s="18"/>
      <c r="D30" s="1">
        <v>1295</v>
      </c>
      <c r="E30" s="1">
        <f>IF(C30,1295,0)</f>
        <v>0</v>
      </c>
      <c r="F30" s="1"/>
      <c r="G30" s="1" t="s">
        <v>49</v>
      </c>
    </row>
    <row r="31" spans="1:7" x14ac:dyDescent="0.25">
      <c r="A31" s="4" t="s">
        <v>34</v>
      </c>
      <c r="B31" s="1">
        <v>708</v>
      </c>
      <c r="C31" s="18"/>
      <c r="D31" s="1">
        <v>795</v>
      </c>
      <c r="E31" s="1">
        <f>IF(C31,795,0)</f>
        <v>0</v>
      </c>
      <c r="F31" s="1"/>
      <c r="G31" s="1" t="s">
        <v>35</v>
      </c>
    </row>
    <row r="32" spans="1:7" x14ac:dyDescent="0.25">
      <c r="A32" s="4" t="s">
        <v>128</v>
      </c>
      <c r="B32" s="1">
        <v>174</v>
      </c>
      <c r="C32" s="18"/>
      <c r="D32" s="1">
        <v>195</v>
      </c>
      <c r="E32" s="1">
        <f>IF(C32,195,0)</f>
        <v>0</v>
      </c>
      <c r="F32" s="1"/>
      <c r="G32" s="1" t="s">
        <v>130</v>
      </c>
    </row>
    <row r="33" spans="1:8" x14ac:dyDescent="0.25">
      <c r="A33" s="6" t="s">
        <v>50</v>
      </c>
      <c r="B33" s="1">
        <v>134</v>
      </c>
      <c r="C33" s="18"/>
      <c r="D33" s="1">
        <v>150</v>
      </c>
      <c r="E33" s="1">
        <f>IF(C33,150,0)</f>
        <v>0</v>
      </c>
      <c r="F33" s="1"/>
      <c r="G33" s="1" t="s">
        <v>51</v>
      </c>
    </row>
    <row r="34" spans="1:8" x14ac:dyDescent="0.25">
      <c r="A34" s="6" t="s">
        <v>52</v>
      </c>
      <c r="B34" s="1">
        <v>467</v>
      </c>
      <c r="C34" s="18"/>
      <c r="D34" s="1">
        <v>525</v>
      </c>
      <c r="E34" s="1">
        <f>IF(C34,525,0)</f>
        <v>0</v>
      </c>
      <c r="F34" s="1"/>
      <c r="G34" s="1" t="s">
        <v>53</v>
      </c>
    </row>
    <row r="35" spans="1:8" x14ac:dyDescent="0.25">
      <c r="A35" s="6" t="s">
        <v>151</v>
      </c>
      <c r="B35" s="1">
        <v>601</v>
      </c>
      <c r="C35" s="18"/>
      <c r="D35" s="1">
        <v>675</v>
      </c>
      <c r="E35" s="1">
        <f>IF(C35,675,0)</f>
        <v>0</v>
      </c>
      <c r="F35" s="1"/>
      <c r="G35" s="1" t="s">
        <v>152</v>
      </c>
    </row>
    <row r="36" spans="1:8" x14ac:dyDescent="0.25">
      <c r="A36" s="6" t="s">
        <v>153</v>
      </c>
      <c r="B36" s="1">
        <v>1558</v>
      </c>
      <c r="C36" s="18"/>
      <c r="D36" s="1">
        <v>1750</v>
      </c>
      <c r="E36" s="1">
        <f>IF(C36,1750,0)</f>
        <v>0</v>
      </c>
      <c r="F36" s="1"/>
      <c r="G36" s="1" t="s">
        <v>155</v>
      </c>
    </row>
    <row r="37" spans="1:8" x14ac:dyDescent="0.25">
      <c r="A37" s="6" t="s">
        <v>154</v>
      </c>
      <c r="B37" s="1">
        <v>1558</v>
      </c>
      <c r="C37" s="18"/>
      <c r="D37" s="1">
        <v>1750</v>
      </c>
      <c r="E37" s="1">
        <f>IF(C37,1750,0)</f>
        <v>0</v>
      </c>
      <c r="F37" s="1"/>
      <c r="G37" s="1" t="s">
        <v>156</v>
      </c>
    </row>
    <row r="38" spans="1:8" x14ac:dyDescent="0.25">
      <c r="A38" s="6" t="s">
        <v>54</v>
      </c>
      <c r="B38" s="10" t="s">
        <v>6</v>
      </c>
      <c r="C38" s="18"/>
      <c r="D38" s="10" t="s">
        <v>6</v>
      </c>
      <c r="E38" s="1"/>
      <c r="F38" s="1"/>
      <c r="G38" s="1" t="s">
        <v>55</v>
      </c>
    </row>
    <row r="39" spans="1:8" x14ac:dyDescent="0.25">
      <c r="A39" s="6" t="s">
        <v>56</v>
      </c>
      <c r="B39" s="1">
        <v>1331</v>
      </c>
      <c r="C39" s="18"/>
      <c r="D39" s="1">
        <v>1495</v>
      </c>
      <c r="E39" s="1">
        <f>IF(C39,1495,0)</f>
        <v>0</v>
      </c>
      <c r="F39" s="1"/>
      <c r="G39" s="1" t="s">
        <v>57</v>
      </c>
    </row>
    <row r="40" spans="1:8" x14ac:dyDescent="0.25">
      <c r="A40" s="5" t="s">
        <v>58</v>
      </c>
      <c r="B40" s="1">
        <v>1331</v>
      </c>
      <c r="C40" s="18"/>
      <c r="D40" s="1">
        <v>1495</v>
      </c>
      <c r="E40" s="1">
        <f>IF(C40,1495,0)</f>
        <v>0</v>
      </c>
      <c r="F40" s="1"/>
      <c r="G40" s="1" t="s">
        <v>59</v>
      </c>
    </row>
    <row r="41" spans="1:8" x14ac:dyDescent="0.25">
      <c r="A41" s="7" t="s">
        <v>60</v>
      </c>
      <c r="B41" s="1"/>
      <c r="C41" s="1">
        <f>SUM(C2:C40)</f>
        <v>39576</v>
      </c>
      <c r="D41" s="1"/>
      <c r="E41" s="1">
        <f>SUM(E2:E40)</f>
        <v>41545</v>
      </c>
      <c r="F41" s="1"/>
      <c r="G41" s="1"/>
    </row>
    <row r="42" spans="1:8" x14ac:dyDescent="0.25">
      <c r="A42" s="7" t="s">
        <v>61</v>
      </c>
      <c r="B42" s="1">
        <v>1495</v>
      </c>
      <c r="C42" s="1">
        <f>SUM(B42)</f>
        <v>1495</v>
      </c>
      <c r="D42" s="1"/>
      <c r="E42" s="1">
        <f>SUM(B42)</f>
        <v>1495</v>
      </c>
      <c r="F42" s="1"/>
      <c r="G42" s="1"/>
    </row>
    <row r="43" spans="1:8" x14ac:dyDescent="0.25">
      <c r="A43" s="7" t="s">
        <v>146</v>
      </c>
      <c r="B43" s="1"/>
      <c r="C43" s="1">
        <f>SUM(C42,C41)</f>
        <v>41071</v>
      </c>
      <c r="D43" s="1"/>
      <c r="E43" s="1">
        <f>SUM(E42,E41)</f>
        <v>43040</v>
      </c>
      <c r="F43" s="1"/>
      <c r="G43" s="1"/>
    </row>
    <row r="44" spans="1:8" x14ac:dyDescent="0.25">
      <c r="A44" s="8" t="s">
        <v>63</v>
      </c>
      <c r="B44" s="1">
        <f>PRODUCT(C43,0.99)</f>
        <v>40660.29</v>
      </c>
      <c r="C44" s="19"/>
      <c r="D44" s="1"/>
      <c r="E44" s="1"/>
      <c r="F44" s="1"/>
      <c r="G44" s="1"/>
      <c r="H44" s="12" t="s">
        <v>71</v>
      </c>
    </row>
    <row r="45" spans="1:8" x14ac:dyDescent="0.25">
      <c r="A45" s="8" t="s">
        <v>64</v>
      </c>
      <c r="B45" s="1">
        <f>PRODUCT(C43,0.98)</f>
        <v>40249.58</v>
      </c>
      <c r="C45" s="19"/>
      <c r="D45" s="1"/>
      <c r="E45" s="1"/>
      <c r="F45" s="1"/>
      <c r="G45" s="1"/>
    </row>
    <row r="46" spans="1:8" x14ac:dyDescent="0.25">
      <c r="A46" s="8" t="s">
        <v>65</v>
      </c>
      <c r="B46" s="1">
        <f>PRODUCT(C43,0.97)</f>
        <v>39838.869999999995</v>
      </c>
      <c r="C46" s="19"/>
      <c r="D46" s="1"/>
      <c r="E46" s="1"/>
      <c r="F46" s="1"/>
      <c r="G46" s="1"/>
    </row>
    <row r="47" spans="1:8" x14ac:dyDescent="0.25">
      <c r="A47" s="8" t="s">
        <v>66</v>
      </c>
      <c r="B47" s="1">
        <f>PRODUCT(C43,0.96)</f>
        <v>39428.159999999996</v>
      </c>
      <c r="C47" s="19"/>
      <c r="D47" s="1"/>
      <c r="E47" s="1"/>
      <c r="F47" s="1"/>
      <c r="G47" s="1"/>
    </row>
    <row r="48" spans="1:8" x14ac:dyDescent="0.25">
      <c r="A48" s="8" t="s">
        <v>67</v>
      </c>
      <c r="B48" s="1">
        <f>PRODUCT(C43,0.95)</f>
        <v>39017.449999999997</v>
      </c>
      <c r="C48" s="19"/>
      <c r="D48" s="1"/>
      <c r="E48" s="1"/>
      <c r="F48" s="1"/>
      <c r="G48" s="1"/>
    </row>
    <row r="49" spans="1:8" x14ac:dyDescent="0.25">
      <c r="A49" s="8" t="s">
        <v>147</v>
      </c>
      <c r="B49" s="1">
        <f>PRODUCT(C43,0.94)</f>
        <v>38606.74</v>
      </c>
      <c r="C49" s="19"/>
      <c r="D49" s="1"/>
      <c r="E49" s="1"/>
      <c r="F49" s="1"/>
      <c r="G49" s="1"/>
    </row>
    <row r="50" spans="1:8" x14ac:dyDescent="0.25">
      <c r="A50" s="8" t="s">
        <v>148</v>
      </c>
      <c r="B50" s="1">
        <f>PRODUCT(C43,0.93)</f>
        <v>38196.03</v>
      </c>
      <c r="C50" s="19"/>
      <c r="D50" s="1"/>
      <c r="E50" s="1"/>
      <c r="F50" s="1"/>
      <c r="G50" s="1"/>
    </row>
    <row r="51" spans="1:8" x14ac:dyDescent="0.25">
      <c r="A51" s="8" t="s">
        <v>149</v>
      </c>
      <c r="B51" s="1">
        <f>PRODUCT(C43,0.92)</f>
        <v>37785.32</v>
      </c>
      <c r="C51" s="19"/>
      <c r="D51" s="1"/>
      <c r="E51" s="1"/>
      <c r="F51" s="1"/>
      <c r="G51" s="1"/>
    </row>
    <row r="52" spans="1:8" x14ac:dyDescent="0.25">
      <c r="A52" s="9" t="s">
        <v>68</v>
      </c>
      <c r="B52" s="20"/>
      <c r="C52" s="1">
        <f>IF(B52,B52,0)</f>
        <v>0</v>
      </c>
      <c r="D52" s="1"/>
      <c r="E52" s="1">
        <f>IF(B52,B52,0)</f>
        <v>0</v>
      </c>
      <c r="F52" s="1"/>
      <c r="G52" s="1"/>
      <c r="H52" s="13" t="s">
        <v>69</v>
      </c>
    </row>
    <row r="53" spans="1:8" x14ac:dyDescent="0.25">
      <c r="A53" s="9" t="s">
        <v>150</v>
      </c>
      <c r="B53" s="39"/>
      <c r="C53" s="1">
        <f>SUM(C44,C45,C46,C47,C48,C49,C50,C51,-C52)</f>
        <v>0</v>
      </c>
      <c r="D53" s="1"/>
      <c r="E53" s="1">
        <f>SUM(E43,-E52)</f>
        <v>43040</v>
      </c>
      <c r="F53" s="1"/>
      <c r="G53" s="1"/>
      <c r="H53" s="40"/>
    </row>
    <row r="54" spans="1:8" x14ac:dyDescent="0.25">
      <c r="A54" s="9" t="s">
        <v>62</v>
      </c>
      <c r="B54" s="21"/>
      <c r="C54" s="1">
        <f>IF(B54,PRODUCT(C53,B54),0)</f>
        <v>0</v>
      </c>
      <c r="D54" s="1"/>
      <c r="E54" s="1">
        <f>IF(B54,PRODUCT(E53,B54),0)</f>
        <v>0</v>
      </c>
      <c r="F54" s="1"/>
      <c r="G54" s="1"/>
      <c r="H54" s="14" t="s">
        <v>74</v>
      </c>
    </row>
    <row r="55" spans="1:8" x14ac:dyDescent="0.25">
      <c r="A55" s="7" t="s">
        <v>60</v>
      </c>
      <c r="B55" s="1"/>
      <c r="C55" s="1">
        <f>SUM(C53:C54)</f>
        <v>0</v>
      </c>
      <c r="D55" s="1"/>
      <c r="E55" s="1">
        <f>SUM(E53:E54)</f>
        <v>43040</v>
      </c>
      <c r="F55" s="1"/>
      <c r="G55" s="1"/>
      <c r="H55" s="14" t="s">
        <v>70</v>
      </c>
    </row>
  </sheetData>
  <sheetProtection algorithmName="SHA-512" hashValue="A7MgYdntT8QX2qrhXq9Lp0pTLp90yHdQViNc3+oqUtKu+FtpKmTBw8E3Ou0C/4BQ9DsrQWm8QXNZiDPVkiEjbA==" saltValue="puNDTpkBH9qWzdMm9B5ClQ==" spinCount="100000" sheet="1" selectLockedCells="1"/>
  <pageMargins left="0.25" right="0.25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A11B5-1EB4-41B2-9BB9-8C70A7BF7A11}">
  <dimension ref="A1:H62"/>
  <sheetViews>
    <sheetView topLeftCell="A16" workbookViewId="0">
      <selection activeCell="B59" sqref="B59"/>
    </sheetView>
  </sheetViews>
  <sheetFormatPr defaultRowHeight="15" x14ac:dyDescent="0.25"/>
  <cols>
    <col min="1" max="1" width="27" customWidth="1"/>
    <col min="2" max="2" width="12.140625" customWidth="1"/>
    <col min="7" max="7" width="10.28515625" customWidth="1"/>
    <col min="8" max="8" width="45.7109375" customWidth="1"/>
  </cols>
  <sheetData>
    <row r="1" spans="1:8" x14ac:dyDescent="0.25">
      <c r="A1" s="3" t="s">
        <v>0</v>
      </c>
      <c r="B1" s="3" t="s">
        <v>1</v>
      </c>
      <c r="C1" s="1"/>
      <c r="D1" s="3" t="s">
        <v>2</v>
      </c>
      <c r="E1" s="1"/>
      <c r="F1" s="1"/>
      <c r="G1" s="3" t="s">
        <v>12</v>
      </c>
      <c r="H1" s="2"/>
    </row>
    <row r="2" spans="1:8" ht="21" x14ac:dyDescent="0.35">
      <c r="A2" s="15" t="s">
        <v>75</v>
      </c>
      <c r="B2" s="16">
        <v>36679</v>
      </c>
      <c r="C2" s="17">
        <v>36679</v>
      </c>
      <c r="D2" s="16">
        <v>38395</v>
      </c>
      <c r="E2" s="16">
        <v>38395</v>
      </c>
      <c r="F2" s="16"/>
      <c r="G2" s="16" t="s">
        <v>76</v>
      </c>
      <c r="H2" s="2"/>
    </row>
    <row r="3" spans="1:8" x14ac:dyDescent="0.25">
      <c r="A3" s="4" t="s">
        <v>4</v>
      </c>
      <c r="B3" s="1">
        <v>1780</v>
      </c>
      <c r="C3" s="18"/>
      <c r="D3" s="1">
        <v>2000</v>
      </c>
      <c r="E3" s="1">
        <f>IF(C3,2000,0)</f>
        <v>0</v>
      </c>
      <c r="F3" s="1"/>
      <c r="G3" s="1" t="s">
        <v>125</v>
      </c>
      <c r="H3" s="2"/>
    </row>
    <row r="4" spans="1:8" s="35" customFormat="1" x14ac:dyDescent="0.25">
      <c r="A4" s="32" t="s">
        <v>122</v>
      </c>
      <c r="B4" s="32">
        <v>890</v>
      </c>
      <c r="C4" s="33"/>
      <c r="D4" s="32">
        <v>1000</v>
      </c>
      <c r="E4" s="32">
        <f>IF(C4,1000,0)</f>
        <v>0</v>
      </c>
      <c r="F4" s="32"/>
      <c r="G4" s="32" t="s">
        <v>124</v>
      </c>
      <c r="H4" s="34" t="s">
        <v>123</v>
      </c>
    </row>
    <row r="5" spans="1:8" s="35" customFormat="1" x14ac:dyDescent="0.25">
      <c r="A5" s="32" t="s">
        <v>135</v>
      </c>
      <c r="B5" s="32">
        <v>9705</v>
      </c>
      <c r="C5" s="33"/>
      <c r="D5" s="32">
        <v>10905</v>
      </c>
      <c r="E5" s="32">
        <f>IF(C5,10905,0)</f>
        <v>0</v>
      </c>
      <c r="F5" s="32"/>
      <c r="G5" s="32"/>
      <c r="H5" s="34" t="s">
        <v>145</v>
      </c>
    </row>
    <row r="6" spans="1:8" x14ac:dyDescent="0.25">
      <c r="A6" s="4" t="s">
        <v>77</v>
      </c>
      <c r="B6" s="1">
        <v>886</v>
      </c>
      <c r="C6" s="18"/>
      <c r="D6" s="1">
        <v>995</v>
      </c>
      <c r="E6" s="1">
        <f>IF(C6,995,0)</f>
        <v>0</v>
      </c>
      <c r="F6" s="1"/>
      <c r="G6" s="1" t="s">
        <v>78</v>
      </c>
      <c r="H6" s="2"/>
    </row>
    <row r="7" spans="1:8" x14ac:dyDescent="0.25">
      <c r="A7" s="22" t="s">
        <v>79</v>
      </c>
      <c r="B7" s="22">
        <v>530</v>
      </c>
      <c r="C7" s="23"/>
      <c r="D7" s="22">
        <v>595</v>
      </c>
      <c r="E7" s="22">
        <f>IF(C7,595,0)</f>
        <v>0</v>
      </c>
      <c r="F7" s="22"/>
      <c r="G7" s="22" t="s">
        <v>80</v>
      </c>
      <c r="H7" s="24" t="s">
        <v>81</v>
      </c>
    </row>
    <row r="8" spans="1:8" x14ac:dyDescent="0.25">
      <c r="A8" s="22" t="s">
        <v>140</v>
      </c>
      <c r="B8" s="22">
        <v>708</v>
      </c>
      <c r="C8" s="23"/>
      <c r="D8" s="22">
        <v>795</v>
      </c>
      <c r="E8" s="22">
        <f>IF(C8,795,0)</f>
        <v>0</v>
      </c>
      <c r="F8" s="22"/>
      <c r="G8" s="22" t="s">
        <v>142</v>
      </c>
      <c r="H8" s="24" t="s">
        <v>141</v>
      </c>
    </row>
    <row r="9" spans="1:8" x14ac:dyDescent="0.25">
      <c r="A9" s="4" t="s">
        <v>10</v>
      </c>
      <c r="B9" s="1">
        <v>1153</v>
      </c>
      <c r="C9" s="18"/>
      <c r="D9" s="1">
        <v>1295</v>
      </c>
      <c r="E9" s="1">
        <f>IF(C9,1295,0)</f>
        <v>0</v>
      </c>
      <c r="F9" s="1"/>
      <c r="G9" s="1" t="s">
        <v>16</v>
      </c>
      <c r="H9" s="2"/>
    </row>
    <row r="10" spans="1:8" x14ac:dyDescent="0.25">
      <c r="A10" s="4" t="s">
        <v>82</v>
      </c>
      <c r="B10" s="1">
        <v>530</v>
      </c>
      <c r="C10" s="18"/>
      <c r="D10" s="1">
        <v>595</v>
      </c>
      <c r="E10" s="1">
        <f>IF(C10,595,0)</f>
        <v>0</v>
      </c>
      <c r="F10" s="1"/>
      <c r="G10" s="1" t="s">
        <v>83</v>
      </c>
      <c r="H10" s="25"/>
    </row>
    <row r="11" spans="1:8" x14ac:dyDescent="0.25">
      <c r="A11" s="4" t="s">
        <v>8</v>
      </c>
      <c r="B11" s="1">
        <v>1064</v>
      </c>
      <c r="C11" s="18"/>
      <c r="D11" s="1">
        <v>1195</v>
      </c>
      <c r="E11" s="1">
        <f>IF(C11,1195,0)</f>
        <v>0</v>
      </c>
      <c r="F11" s="1"/>
      <c r="G11" s="1" t="s">
        <v>17</v>
      </c>
      <c r="H11" s="2"/>
    </row>
    <row r="12" spans="1:8" x14ac:dyDescent="0.25">
      <c r="A12" s="5" t="s">
        <v>5</v>
      </c>
      <c r="B12" s="10" t="s">
        <v>6</v>
      </c>
      <c r="C12" s="18" t="str">
        <f>IF(C19,0,"N/A")</f>
        <v>N/A</v>
      </c>
      <c r="D12" s="10" t="s">
        <v>6</v>
      </c>
      <c r="E12" s="1" t="str">
        <f>IF(C19,0,"N/A")</f>
        <v>N/A</v>
      </c>
      <c r="F12" s="1"/>
      <c r="G12" s="1" t="s">
        <v>17</v>
      </c>
      <c r="H12" s="2"/>
    </row>
    <row r="13" spans="1:8" x14ac:dyDescent="0.25">
      <c r="A13" s="4" t="s">
        <v>7</v>
      </c>
      <c r="B13" s="1">
        <v>1954</v>
      </c>
      <c r="C13" s="18"/>
      <c r="D13" s="1">
        <v>2195</v>
      </c>
      <c r="E13" s="1">
        <f>IF(C13,2195,0)</f>
        <v>0</v>
      </c>
      <c r="F13" s="1"/>
      <c r="G13" s="1" t="s">
        <v>18</v>
      </c>
      <c r="H13" s="11" t="s">
        <v>72</v>
      </c>
    </row>
    <row r="14" spans="1:8" x14ac:dyDescent="0.25">
      <c r="A14" s="5" t="s">
        <v>5</v>
      </c>
      <c r="B14" s="1">
        <v>1157</v>
      </c>
      <c r="C14" s="18">
        <v>0</v>
      </c>
      <c r="D14" s="1">
        <v>1300</v>
      </c>
      <c r="E14" s="1" t="str">
        <f>IF(C14,1300,"N/A")</f>
        <v>N/A</v>
      </c>
      <c r="F14" s="1"/>
      <c r="G14" s="1" t="s">
        <v>18</v>
      </c>
      <c r="H14" s="11" t="s">
        <v>73</v>
      </c>
    </row>
    <row r="15" spans="1:8" x14ac:dyDescent="0.25">
      <c r="A15" s="6" t="s">
        <v>119</v>
      </c>
      <c r="B15" s="1">
        <v>3556</v>
      </c>
      <c r="C15" s="18"/>
      <c r="D15" s="1">
        <v>3995</v>
      </c>
      <c r="E15" s="1">
        <f>IF(C15,3995,0)</f>
        <v>0</v>
      </c>
      <c r="F15" s="1"/>
      <c r="G15" s="1" t="s">
        <v>136</v>
      </c>
      <c r="H15" s="11"/>
    </row>
    <row r="16" spans="1:8" x14ac:dyDescent="0.25">
      <c r="A16" s="5" t="s">
        <v>137</v>
      </c>
      <c r="B16" s="1">
        <v>1691</v>
      </c>
      <c r="C16" s="18"/>
      <c r="D16" s="1">
        <v>1900</v>
      </c>
      <c r="E16" s="1">
        <f>IF(C16,1900,0)</f>
        <v>0</v>
      </c>
      <c r="F16" s="1"/>
      <c r="G16" s="1" t="s">
        <v>136</v>
      </c>
      <c r="H16" s="11"/>
    </row>
    <row r="17" spans="1:8" x14ac:dyDescent="0.25">
      <c r="A17" s="6" t="s">
        <v>20</v>
      </c>
      <c r="B17" s="1">
        <v>886</v>
      </c>
      <c r="C17" s="18"/>
      <c r="D17" s="1">
        <v>995</v>
      </c>
      <c r="E17" s="1">
        <f>IF(C17,995,0)</f>
        <v>0</v>
      </c>
      <c r="F17" s="1"/>
      <c r="G17" s="1" t="s">
        <v>22</v>
      </c>
      <c r="H17" s="2"/>
    </row>
    <row r="18" spans="1:8" x14ac:dyDescent="0.25">
      <c r="A18" s="5" t="s">
        <v>21</v>
      </c>
      <c r="B18" s="1">
        <v>619</v>
      </c>
      <c r="C18" s="18"/>
      <c r="D18" s="1">
        <v>695</v>
      </c>
      <c r="E18" s="1">
        <f>IF(C18,695,0)</f>
        <v>0</v>
      </c>
      <c r="F18" s="1"/>
      <c r="G18" s="1" t="s">
        <v>22</v>
      </c>
      <c r="H18" s="2"/>
    </row>
    <row r="19" spans="1:8" x14ac:dyDescent="0.25">
      <c r="A19" s="4" t="s">
        <v>23</v>
      </c>
      <c r="B19" s="1">
        <v>2043</v>
      </c>
      <c r="C19" s="18"/>
      <c r="D19" s="1">
        <v>2295</v>
      </c>
      <c r="E19" s="1">
        <f>IF(C19,2295,0)</f>
        <v>0</v>
      </c>
      <c r="F19" s="1"/>
      <c r="G19" s="1" t="s">
        <v>24</v>
      </c>
      <c r="H19" s="2"/>
    </row>
    <row r="20" spans="1:8" x14ac:dyDescent="0.25">
      <c r="A20" s="5" t="s">
        <v>137</v>
      </c>
      <c r="B20" s="1">
        <v>1157</v>
      </c>
      <c r="C20" s="18"/>
      <c r="D20" s="1">
        <v>1300</v>
      </c>
      <c r="E20" s="1">
        <f>IF(C20,1300,0)</f>
        <v>0</v>
      </c>
      <c r="F20" s="1"/>
      <c r="G20" s="1" t="s">
        <v>24</v>
      </c>
      <c r="H20" s="2"/>
    </row>
    <row r="21" spans="1:8" x14ac:dyDescent="0.25">
      <c r="A21" s="4" t="s">
        <v>25</v>
      </c>
      <c r="B21" s="1">
        <v>1420</v>
      </c>
      <c r="C21" s="18"/>
      <c r="D21" s="1">
        <v>1595</v>
      </c>
      <c r="E21" s="1">
        <f>IF(C21,1595,0)</f>
        <v>0</v>
      </c>
      <c r="F21" s="1"/>
      <c r="G21" s="1" t="s">
        <v>26</v>
      </c>
      <c r="H21" s="2"/>
    </row>
    <row r="22" spans="1:8" x14ac:dyDescent="0.25">
      <c r="A22" s="4" t="s">
        <v>36</v>
      </c>
      <c r="B22" s="1">
        <v>85</v>
      </c>
      <c r="C22" s="18"/>
      <c r="D22" s="1">
        <v>95</v>
      </c>
      <c r="E22" s="1">
        <f>IF(C22,95,0)</f>
        <v>0</v>
      </c>
      <c r="F22" s="1"/>
      <c r="G22" s="1" t="s">
        <v>37</v>
      </c>
      <c r="H22" s="2"/>
    </row>
    <row r="23" spans="1:8" x14ac:dyDescent="0.25">
      <c r="A23" s="4" t="s">
        <v>39</v>
      </c>
      <c r="B23" s="1">
        <v>174</v>
      </c>
      <c r="C23" s="18"/>
      <c r="D23" s="1">
        <v>195</v>
      </c>
      <c r="E23" s="1">
        <f>IF(C23,195,0)</f>
        <v>0</v>
      </c>
      <c r="F23" s="1"/>
      <c r="G23" s="1" t="s">
        <v>40</v>
      </c>
      <c r="H23" s="2"/>
    </row>
    <row r="24" spans="1:8" x14ac:dyDescent="0.25">
      <c r="A24" s="4" t="s">
        <v>27</v>
      </c>
      <c r="B24" s="1">
        <v>886</v>
      </c>
      <c r="C24" s="18"/>
      <c r="D24" s="1">
        <v>995</v>
      </c>
      <c r="E24" s="1">
        <f>IF(C24,995,0)</f>
        <v>0</v>
      </c>
      <c r="F24" s="1"/>
      <c r="G24" s="1" t="s">
        <v>28</v>
      </c>
      <c r="H24" s="2"/>
    </row>
    <row r="25" spans="1:8" x14ac:dyDescent="0.25">
      <c r="A25" s="4" t="s">
        <v>42</v>
      </c>
      <c r="B25" s="1">
        <v>530</v>
      </c>
      <c r="C25" s="18"/>
      <c r="D25" s="1">
        <v>595</v>
      </c>
      <c r="E25" s="1">
        <f>IF(C25,595,0)</f>
        <v>0</v>
      </c>
      <c r="F25" s="1"/>
      <c r="G25" s="1" t="s">
        <v>43</v>
      </c>
      <c r="H25" s="2"/>
    </row>
    <row r="26" spans="1:8" x14ac:dyDescent="0.25">
      <c r="A26" s="4" t="s">
        <v>138</v>
      </c>
      <c r="B26" s="1">
        <v>708</v>
      </c>
      <c r="C26" s="18"/>
      <c r="D26" s="1">
        <v>795</v>
      </c>
      <c r="E26" s="1">
        <f>IF(C26,795,0)</f>
        <v>0</v>
      </c>
      <c r="F26" s="1"/>
      <c r="G26" s="1" t="s">
        <v>144</v>
      </c>
      <c r="H26" s="2"/>
    </row>
    <row r="27" spans="1:8" x14ac:dyDescent="0.25">
      <c r="A27" s="4" t="s">
        <v>29</v>
      </c>
      <c r="B27" s="1">
        <v>441</v>
      </c>
      <c r="C27" s="18"/>
      <c r="D27" s="1">
        <v>495</v>
      </c>
      <c r="E27" s="1">
        <f>IF(C27,495,0)</f>
        <v>0</v>
      </c>
      <c r="F27" s="1"/>
      <c r="G27" s="1" t="s">
        <v>30</v>
      </c>
      <c r="H27" s="2"/>
    </row>
    <row r="28" spans="1:8" x14ac:dyDescent="0.25">
      <c r="A28" s="4" t="s">
        <v>121</v>
      </c>
      <c r="B28" s="1">
        <v>441</v>
      </c>
      <c r="C28" s="18"/>
      <c r="D28" s="1">
        <v>495</v>
      </c>
      <c r="E28" s="1">
        <f>IF(C28,495,0)</f>
        <v>0</v>
      </c>
      <c r="F28" s="1"/>
      <c r="G28" s="1" t="s">
        <v>32</v>
      </c>
      <c r="H28" s="2"/>
    </row>
    <row r="29" spans="1:8" x14ac:dyDescent="0.25">
      <c r="A29" s="5" t="s">
        <v>38</v>
      </c>
      <c r="B29" s="10" t="s">
        <v>41</v>
      </c>
      <c r="C29" s="18"/>
      <c r="D29" s="10" t="s">
        <v>41</v>
      </c>
      <c r="E29" s="1"/>
      <c r="F29" s="1"/>
      <c r="G29" s="1"/>
      <c r="H29" s="2"/>
    </row>
    <row r="30" spans="1:8" x14ac:dyDescent="0.25">
      <c r="A30" s="4" t="s">
        <v>31</v>
      </c>
      <c r="B30" s="1">
        <v>886</v>
      </c>
      <c r="C30" s="18"/>
      <c r="D30" s="1">
        <v>995</v>
      </c>
      <c r="E30" s="1">
        <f>IF(C30,995,0)</f>
        <v>0</v>
      </c>
      <c r="F30" s="1"/>
      <c r="G30" s="1" t="s">
        <v>84</v>
      </c>
      <c r="H30" s="2"/>
    </row>
    <row r="31" spans="1:8" x14ac:dyDescent="0.25">
      <c r="A31" s="5" t="s">
        <v>33</v>
      </c>
      <c r="B31" s="1">
        <v>797</v>
      </c>
      <c r="C31" s="18"/>
      <c r="D31" s="1">
        <v>895</v>
      </c>
      <c r="E31" s="1">
        <f>IF(C31,895,0)</f>
        <v>0</v>
      </c>
      <c r="F31" s="1"/>
      <c r="G31" s="1" t="s">
        <v>84</v>
      </c>
      <c r="H31" s="2"/>
    </row>
    <row r="32" spans="1:8" x14ac:dyDescent="0.25">
      <c r="A32" s="6" t="s">
        <v>44</v>
      </c>
      <c r="B32" s="1">
        <v>27</v>
      </c>
      <c r="C32" s="18"/>
      <c r="D32" s="1">
        <v>30</v>
      </c>
      <c r="E32" s="1">
        <f>IF(C32,30,0)</f>
        <v>0</v>
      </c>
      <c r="F32" s="1"/>
      <c r="G32" s="1" t="s">
        <v>45</v>
      </c>
      <c r="H32" s="2"/>
    </row>
    <row r="33" spans="1:8" x14ac:dyDescent="0.25">
      <c r="A33" s="6" t="s">
        <v>46</v>
      </c>
      <c r="B33" s="1">
        <v>67</v>
      </c>
      <c r="C33" s="18"/>
      <c r="D33" s="1">
        <v>75</v>
      </c>
      <c r="E33" s="1">
        <f>IF(C33,75,0)</f>
        <v>0</v>
      </c>
      <c r="F33" s="1"/>
      <c r="G33" s="1" t="s">
        <v>47</v>
      </c>
      <c r="H33" s="2"/>
    </row>
    <row r="34" spans="1:8" x14ac:dyDescent="0.25">
      <c r="A34" s="4" t="s">
        <v>34</v>
      </c>
      <c r="B34" s="1">
        <v>708</v>
      </c>
      <c r="C34" s="18"/>
      <c r="D34" s="1">
        <v>795</v>
      </c>
      <c r="E34" s="1">
        <f>IF(C34,795,0)</f>
        <v>0</v>
      </c>
      <c r="F34" s="1"/>
      <c r="G34" s="1" t="s">
        <v>35</v>
      </c>
      <c r="H34" s="2"/>
    </row>
    <row r="35" spans="1:8" x14ac:dyDescent="0.25">
      <c r="A35" s="4" t="s">
        <v>128</v>
      </c>
      <c r="B35" s="1">
        <v>174</v>
      </c>
      <c r="C35" s="18"/>
      <c r="D35" s="1">
        <v>195</v>
      </c>
      <c r="E35" s="1">
        <f>IF(C35,195,0)</f>
        <v>0</v>
      </c>
      <c r="F35" s="1"/>
      <c r="G35" s="1" t="s">
        <v>130</v>
      </c>
      <c r="H35" s="2"/>
    </row>
    <row r="36" spans="1:8" x14ac:dyDescent="0.25">
      <c r="A36" s="4" t="s">
        <v>131</v>
      </c>
      <c r="B36" s="1">
        <v>886</v>
      </c>
      <c r="C36" s="18"/>
      <c r="D36" s="1">
        <v>995</v>
      </c>
      <c r="E36" s="1">
        <f>IF(C36,995,0)</f>
        <v>0</v>
      </c>
      <c r="F36" s="1"/>
      <c r="G36" s="1" t="s">
        <v>133</v>
      </c>
      <c r="H36" s="2"/>
    </row>
    <row r="37" spans="1:8" x14ac:dyDescent="0.25">
      <c r="A37" s="5" t="s">
        <v>132</v>
      </c>
      <c r="B37" s="10" t="s">
        <v>41</v>
      </c>
      <c r="C37" s="18"/>
      <c r="D37" s="10" t="s">
        <v>41</v>
      </c>
      <c r="E37" s="1"/>
      <c r="F37" s="1"/>
      <c r="G37" s="1"/>
      <c r="H37" s="2"/>
    </row>
    <row r="38" spans="1:8" x14ac:dyDescent="0.25">
      <c r="A38" s="6" t="s">
        <v>50</v>
      </c>
      <c r="B38" s="1">
        <v>134</v>
      </c>
      <c r="C38" s="18"/>
      <c r="D38" s="1">
        <v>150</v>
      </c>
      <c r="E38" s="1">
        <f>IF(C38,130,0)</f>
        <v>0</v>
      </c>
      <c r="F38" s="1"/>
      <c r="G38" s="1" t="s">
        <v>51</v>
      </c>
      <c r="H38" s="2"/>
    </row>
    <row r="39" spans="1:8" x14ac:dyDescent="0.25">
      <c r="A39" s="6" t="s">
        <v>52</v>
      </c>
      <c r="B39" s="1">
        <v>467</v>
      </c>
      <c r="C39" s="18"/>
      <c r="D39" s="1">
        <v>525</v>
      </c>
      <c r="E39" s="1">
        <f>IF(C39,525,0)</f>
        <v>0</v>
      </c>
      <c r="F39" s="1"/>
      <c r="G39" s="1" t="s">
        <v>53</v>
      </c>
      <c r="H39" s="2"/>
    </row>
    <row r="40" spans="1:8" x14ac:dyDescent="0.25">
      <c r="A40" s="6" t="s">
        <v>151</v>
      </c>
      <c r="B40" s="1">
        <v>601</v>
      </c>
      <c r="C40" s="18"/>
      <c r="D40" s="1">
        <v>675</v>
      </c>
      <c r="E40" s="1">
        <f>IF(C40,675,0)</f>
        <v>0</v>
      </c>
      <c r="F40" s="1"/>
      <c r="G40" s="1" t="s">
        <v>152</v>
      </c>
      <c r="H40" s="2"/>
    </row>
    <row r="41" spans="1:8" x14ac:dyDescent="0.25">
      <c r="A41" s="6" t="s">
        <v>151</v>
      </c>
      <c r="B41" s="1">
        <v>601</v>
      </c>
      <c r="C41" s="18"/>
      <c r="D41" s="1">
        <v>675</v>
      </c>
      <c r="E41" s="1">
        <f>IF(C41,675,0)</f>
        <v>0</v>
      </c>
      <c r="F41" s="1"/>
      <c r="G41" s="1" t="s">
        <v>152</v>
      </c>
      <c r="H41" s="2"/>
    </row>
    <row r="42" spans="1:8" x14ac:dyDescent="0.25">
      <c r="A42" s="6" t="s">
        <v>153</v>
      </c>
      <c r="B42" s="1">
        <v>1558</v>
      </c>
      <c r="C42" s="18"/>
      <c r="D42" s="1">
        <v>1750</v>
      </c>
      <c r="E42" s="1">
        <f>IF(C42,1750,0)</f>
        <v>0</v>
      </c>
      <c r="F42" s="1"/>
      <c r="G42" s="1" t="s">
        <v>155</v>
      </c>
      <c r="H42" s="2"/>
    </row>
    <row r="43" spans="1:8" x14ac:dyDescent="0.25">
      <c r="A43" s="6" t="s">
        <v>154</v>
      </c>
      <c r="B43" s="1">
        <v>1558</v>
      </c>
      <c r="C43" s="18"/>
      <c r="D43" s="1">
        <v>1750</v>
      </c>
      <c r="E43" s="1">
        <f>IF(C43,1750,0)</f>
        <v>0</v>
      </c>
      <c r="F43" s="1"/>
      <c r="G43" s="1" t="s">
        <v>156</v>
      </c>
      <c r="H43" s="2"/>
    </row>
    <row r="44" spans="1:8" x14ac:dyDescent="0.25">
      <c r="A44" s="6" t="s">
        <v>85</v>
      </c>
      <c r="B44" s="10" t="s">
        <v>6</v>
      </c>
      <c r="C44" s="18"/>
      <c r="D44" s="10" t="s">
        <v>6</v>
      </c>
      <c r="E44" s="1"/>
      <c r="F44" s="1"/>
      <c r="G44" s="1" t="s">
        <v>86</v>
      </c>
      <c r="H44" s="2"/>
    </row>
    <row r="45" spans="1:8" x14ac:dyDescent="0.25">
      <c r="A45" s="26" t="s">
        <v>87</v>
      </c>
      <c r="B45" s="10" t="s">
        <v>6</v>
      </c>
      <c r="C45" s="18"/>
      <c r="D45" s="10" t="s">
        <v>139</v>
      </c>
      <c r="E45" s="1"/>
      <c r="F45" s="1"/>
      <c r="G45" s="1" t="s">
        <v>88</v>
      </c>
      <c r="H45" s="2"/>
    </row>
    <row r="46" spans="1:8" x14ac:dyDescent="0.25">
      <c r="A46" s="6" t="s">
        <v>56</v>
      </c>
      <c r="B46" s="1">
        <v>1331</v>
      </c>
      <c r="C46" s="18"/>
      <c r="D46" s="1">
        <v>1495</v>
      </c>
      <c r="E46" s="1">
        <f>IF(C46,1495,0)</f>
        <v>0</v>
      </c>
      <c r="F46" s="1"/>
      <c r="G46" s="1" t="s">
        <v>89</v>
      </c>
      <c r="H46" s="2"/>
    </row>
    <row r="47" spans="1:8" x14ac:dyDescent="0.25">
      <c r="A47" s="5" t="s">
        <v>58</v>
      </c>
      <c r="B47" s="1">
        <v>1331</v>
      </c>
      <c r="C47" s="18"/>
      <c r="D47" s="1">
        <v>1495</v>
      </c>
      <c r="E47" s="1">
        <f>IF(C47,1495,0)</f>
        <v>0</v>
      </c>
      <c r="F47" s="1"/>
      <c r="G47" s="1" t="s">
        <v>90</v>
      </c>
      <c r="H47" s="2"/>
    </row>
    <row r="48" spans="1:8" x14ac:dyDescent="0.25">
      <c r="A48" s="7" t="s">
        <v>60</v>
      </c>
      <c r="B48" s="1"/>
      <c r="C48" s="1">
        <f>SUM(C2:C47)</f>
        <v>36679</v>
      </c>
      <c r="D48" s="1"/>
      <c r="E48" s="1">
        <f>SUM(E2:E47)</f>
        <v>38395</v>
      </c>
      <c r="F48" s="1"/>
      <c r="G48" s="1"/>
    </row>
    <row r="49" spans="1:8" x14ac:dyDescent="0.25">
      <c r="A49" s="7" t="s">
        <v>61</v>
      </c>
      <c r="B49" s="1">
        <v>1495</v>
      </c>
      <c r="C49" s="1">
        <f>SUM(B49)</f>
        <v>1495</v>
      </c>
      <c r="D49" s="1"/>
      <c r="E49" s="1">
        <f>SUM(B49)</f>
        <v>1495</v>
      </c>
      <c r="F49" s="1"/>
      <c r="G49" s="1"/>
      <c r="H49" s="2"/>
    </row>
    <row r="50" spans="1:8" x14ac:dyDescent="0.25">
      <c r="A50" s="7" t="s">
        <v>146</v>
      </c>
      <c r="B50" s="1"/>
      <c r="C50" s="1">
        <f>SUM(C49,C48)</f>
        <v>38174</v>
      </c>
      <c r="D50" s="1"/>
      <c r="E50" s="1">
        <f>SUM(E49,E48)</f>
        <v>39890</v>
      </c>
      <c r="F50" s="1"/>
      <c r="G50" s="1"/>
    </row>
    <row r="51" spans="1:8" x14ac:dyDescent="0.25">
      <c r="A51" s="8" t="s">
        <v>63</v>
      </c>
      <c r="B51" s="1">
        <f>PRODUCT(C50,0.99)</f>
        <v>37792.26</v>
      </c>
      <c r="C51" s="19"/>
      <c r="D51" s="1"/>
      <c r="E51" s="1"/>
      <c r="F51" s="1"/>
      <c r="G51" s="1"/>
      <c r="H51" s="12" t="s">
        <v>71</v>
      </c>
    </row>
    <row r="52" spans="1:8" x14ac:dyDescent="0.25">
      <c r="A52" s="8" t="s">
        <v>64</v>
      </c>
      <c r="B52" s="1">
        <f>PRODUCT(C50,0.98)</f>
        <v>37410.519999999997</v>
      </c>
      <c r="C52" s="19"/>
      <c r="D52" s="1"/>
      <c r="E52" s="1"/>
      <c r="F52" s="1"/>
      <c r="G52" s="1"/>
    </row>
    <row r="53" spans="1:8" x14ac:dyDescent="0.25">
      <c r="A53" s="8" t="s">
        <v>65</v>
      </c>
      <c r="B53" s="1">
        <f>PRODUCT(C50,0.97)</f>
        <v>37028.78</v>
      </c>
      <c r="C53" s="19"/>
      <c r="D53" s="1"/>
      <c r="E53" s="1"/>
      <c r="F53" s="1"/>
      <c r="G53" s="1"/>
    </row>
    <row r="54" spans="1:8" x14ac:dyDescent="0.25">
      <c r="A54" s="8" t="s">
        <v>66</v>
      </c>
      <c r="B54" s="1">
        <f>PRODUCT(C50,0.96)</f>
        <v>36647.040000000001</v>
      </c>
      <c r="C54" s="19"/>
      <c r="D54" s="1"/>
      <c r="E54" s="1"/>
      <c r="F54" s="1"/>
      <c r="G54" s="1"/>
    </row>
    <row r="55" spans="1:8" x14ac:dyDescent="0.25">
      <c r="A55" s="8" t="s">
        <v>67</v>
      </c>
      <c r="B55" s="1">
        <f>PRODUCT(C50,0.95)</f>
        <v>36265.299999999996</v>
      </c>
      <c r="C55" s="19"/>
      <c r="D55" s="1"/>
      <c r="E55" s="1"/>
      <c r="F55" s="1"/>
      <c r="G55" s="1"/>
    </row>
    <row r="56" spans="1:8" x14ac:dyDescent="0.25">
      <c r="A56" s="8" t="s">
        <v>147</v>
      </c>
      <c r="B56" s="1">
        <f>PRODUCT(C50,0.94)</f>
        <v>35883.56</v>
      </c>
      <c r="C56" s="19"/>
      <c r="D56" s="1"/>
      <c r="E56" s="1"/>
      <c r="F56" s="1"/>
      <c r="G56" s="1"/>
    </row>
    <row r="57" spans="1:8" x14ac:dyDescent="0.25">
      <c r="A57" s="8" t="s">
        <v>148</v>
      </c>
      <c r="B57" s="1">
        <f>PRODUCT(C50,0.93)</f>
        <v>35501.82</v>
      </c>
      <c r="C57" s="19"/>
      <c r="D57" s="1"/>
      <c r="E57" s="1"/>
      <c r="F57" s="1"/>
      <c r="G57" s="1"/>
    </row>
    <row r="58" spans="1:8" x14ac:dyDescent="0.25">
      <c r="A58" s="8" t="s">
        <v>149</v>
      </c>
      <c r="B58" s="1">
        <f>PRODUCT(C50,0.92)</f>
        <v>35120.080000000002</v>
      </c>
      <c r="C58" s="19"/>
      <c r="D58" s="1"/>
      <c r="E58" s="1"/>
    </row>
    <row r="59" spans="1:8" x14ac:dyDescent="0.25">
      <c r="A59" s="9" t="s">
        <v>68</v>
      </c>
      <c r="B59" s="20"/>
      <c r="C59" s="1">
        <f>IF(B59,B59,0)</f>
        <v>0</v>
      </c>
      <c r="D59" s="1"/>
      <c r="E59" s="1">
        <f>IF(B59,B59,0)</f>
        <v>0</v>
      </c>
      <c r="H59" s="13" t="s">
        <v>69</v>
      </c>
    </row>
    <row r="60" spans="1:8" x14ac:dyDescent="0.25">
      <c r="A60" s="9" t="s">
        <v>150</v>
      </c>
      <c r="B60" s="1"/>
      <c r="C60" s="1">
        <f>SUM(C51,C52,C53,C54,C55,C56,C57,C58,-C59)</f>
        <v>0</v>
      </c>
      <c r="D60" s="1"/>
      <c r="E60" s="1">
        <f>SUM(E50,-E59)</f>
        <v>39890</v>
      </c>
    </row>
    <row r="61" spans="1:8" x14ac:dyDescent="0.25">
      <c r="A61" s="9" t="s">
        <v>62</v>
      </c>
      <c r="B61" s="21"/>
      <c r="C61" s="1">
        <f>IF(B61,PRODUCT(C60,B61),0)</f>
        <v>0</v>
      </c>
      <c r="D61" s="1"/>
      <c r="E61" s="1">
        <f>IF(B61,PRODUCT(E60,B61),0)</f>
        <v>0</v>
      </c>
      <c r="H61" s="14" t="s">
        <v>74</v>
      </c>
    </row>
    <row r="62" spans="1:8" x14ac:dyDescent="0.25">
      <c r="A62" s="7" t="s">
        <v>60</v>
      </c>
      <c r="B62" s="1"/>
      <c r="C62" s="1">
        <f>SUM(C60:C61)</f>
        <v>0</v>
      </c>
      <c r="D62" s="1"/>
      <c r="E62" s="1">
        <f>SUM(E60:E61)</f>
        <v>39890</v>
      </c>
      <c r="H62" s="14" t="s">
        <v>70</v>
      </c>
    </row>
  </sheetData>
  <sheetProtection algorithmName="SHA-512" hashValue="aleQmyFV41/sTECrOoH7HEp99V2xE1QLb2hLgUIgsSjeHMv81Ou/uTLUIOPN7yE8yrZ5JZPUBkOMjvVBSZpnIg==" saltValue="rV6S9cmtaEdjoB3rbUdzbQ==" spinCount="100000" sheet="1" objects="1" scenarios="1" selectLockedCell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763A6-F498-4962-BE3F-64C79B7EF059}">
  <dimension ref="A1:H50"/>
  <sheetViews>
    <sheetView tabSelected="1" workbookViewId="0">
      <selection activeCell="C3" sqref="C3"/>
    </sheetView>
  </sheetViews>
  <sheetFormatPr defaultRowHeight="15" x14ac:dyDescent="0.25"/>
  <cols>
    <col min="1" max="1" width="27.5703125" style="2" customWidth="1"/>
    <col min="2" max="2" width="12.28515625" style="2" customWidth="1"/>
    <col min="3" max="6" width="9.140625" style="2"/>
    <col min="7" max="7" width="10.5703125" style="2" customWidth="1"/>
    <col min="8" max="8" width="36" style="2" customWidth="1"/>
    <col min="9" max="16384" width="9.140625" style="2"/>
  </cols>
  <sheetData>
    <row r="1" spans="1:8" x14ac:dyDescent="0.25">
      <c r="A1" s="3" t="s">
        <v>0</v>
      </c>
      <c r="B1" s="3" t="s">
        <v>1</v>
      </c>
      <c r="C1" s="1"/>
      <c r="D1" s="3" t="s">
        <v>2</v>
      </c>
      <c r="E1" s="1"/>
      <c r="F1" s="1"/>
      <c r="G1" s="3" t="s">
        <v>12</v>
      </c>
    </row>
    <row r="2" spans="1:8" ht="29.25" customHeight="1" x14ac:dyDescent="0.35">
      <c r="A2" s="15" t="s">
        <v>91</v>
      </c>
      <c r="B2" s="16">
        <v>31007</v>
      </c>
      <c r="C2" s="17">
        <v>31007</v>
      </c>
      <c r="D2" s="16">
        <v>31545</v>
      </c>
      <c r="E2" s="16">
        <v>31545</v>
      </c>
      <c r="F2" s="16"/>
      <c r="G2" s="16" t="s">
        <v>92</v>
      </c>
      <c r="H2" s="27" t="s">
        <v>94</v>
      </c>
    </row>
    <row r="3" spans="1:8" x14ac:dyDescent="0.25">
      <c r="A3" s="4" t="s">
        <v>4</v>
      </c>
      <c r="B3" s="1">
        <v>1780</v>
      </c>
      <c r="C3" s="18">
        <f>IF(C4,1780,0)</f>
        <v>0</v>
      </c>
      <c r="D3" s="1">
        <v>2000</v>
      </c>
      <c r="E3" s="1">
        <f>IF(C3,2000,0)</f>
        <v>0</v>
      </c>
      <c r="F3" s="1"/>
      <c r="G3" s="1" t="s">
        <v>93</v>
      </c>
      <c r="H3" s="27" t="s">
        <v>97</v>
      </c>
    </row>
    <row r="4" spans="1:8" s="31" customFormat="1" x14ac:dyDescent="0.25">
      <c r="A4" s="3" t="s">
        <v>122</v>
      </c>
      <c r="B4" s="3">
        <v>890</v>
      </c>
      <c r="C4" s="30"/>
      <c r="D4" s="3">
        <v>1000</v>
      </c>
      <c r="E4" s="3">
        <f>IF(C4,1000,0)</f>
        <v>0</v>
      </c>
      <c r="F4" s="3"/>
      <c r="G4" s="3" t="s">
        <v>126</v>
      </c>
      <c r="H4" s="36" t="s">
        <v>127</v>
      </c>
    </row>
    <row r="5" spans="1:8" x14ac:dyDescent="0.25">
      <c r="A5" s="4" t="s">
        <v>95</v>
      </c>
      <c r="B5" s="1">
        <v>2848</v>
      </c>
      <c r="C5" s="18"/>
      <c r="D5" s="1">
        <v>3200</v>
      </c>
      <c r="E5" s="1">
        <f>IF(C5,3200,0)</f>
        <v>0</v>
      </c>
      <c r="F5" s="1"/>
      <c r="G5" s="1" t="s">
        <v>96</v>
      </c>
    </row>
    <row r="6" spans="1:8" x14ac:dyDescent="0.25">
      <c r="A6" s="4" t="s">
        <v>98</v>
      </c>
      <c r="B6" s="1">
        <v>896</v>
      </c>
      <c r="C6" s="18"/>
      <c r="D6" s="1">
        <v>995</v>
      </c>
      <c r="E6" s="1">
        <f>IF(C6,995,0)</f>
        <v>0</v>
      </c>
      <c r="F6" s="1"/>
      <c r="G6" s="28" t="s">
        <v>99</v>
      </c>
      <c r="H6" s="29" t="s">
        <v>100</v>
      </c>
    </row>
    <row r="7" spans="1:8" x14ac:dyDescent="0.25">
      <c r="A7" s="4" t="s">
        <v>101</v>
      </c>
      <c r="B7" s="1">
        <v>1153</v>
      </c>
      <c r="C7" s="18"/>
      <c r="D7" s="1">
        <v>1295</v>
      </c>
      <c r="E7" s="1">
        <f>IF(C7,1295,0)</f>
        <v>0</v>
      </c>
      <c r="F7" s="1"/>
      <c r="G7" s="28" t="s">
        <v>16</v>
      </c>
      <c r="H7" s="29" t="s">
        <v>100</v>
      </c>
    </row>
    <row r="8" spans="1:8" x14ac:dyDescent="0.25">
      <c r="A8" s="4" t="s">
        <v>102</v>
      </c>
      <c r="B8" s="1">
        <v>530</v>
      </c>
      <c r="C8" s="18"/>
      <c r="D8" s="1">
        <v>595</v>
      </c>
      <c r="E8" s="1">
        <f>IF(C8,595,0)</f>
        <v>0</v>
      </c>
      <c r="F8" s="1"/>
      <c r="G8" s="1" t="s">
        <v>83</v>
      </c>
      <c r="H8" s="25"/>
    </row>
    <row r="9" spans="1:8" x14ac:dyDescent="0.25">
      <c r="A9" s="4" t="s">
        <v>8</v>
      </c>
      <c r="B9" s="1">
        <v>1064</v>
      </c>
      <c r="C9" s="18"/>
      <c r="D9" s="1">
        <v>1195</v>
      </c>
      <c r="E9" s="1">
        <f>IF(C9,1195,0)</f>
        <v>0</v>
      </c>
      <c r="F9" s="1"/>
      <c r="G9" s="1" t="s">
        <v>17</v>
      </c>
    </row>
    <row r="10" spans="1:8" x14ac:dyDescent="0.25">
      <c r="A10" s="5" t="s">
        <v>5</v>
      </c>
      <c r="B10" s="10" t="s">
        <v>6</v>
      </c>
      <c r="C10" s="18" t="str">
        <f>IF(C16,0,"N/A")</f>
        <v>N/A</v>
      </c>
      <c r="D10" s="10" t="s">
        <v>6</v>
      </c>
      <c r="E10" s="1" t="str">
        <f>IF(C16,0,"N/A")</f>
        <v>N/A</v>
      </c>
      <c r="F10" s="1"/>
      <c r="G10" s="1" t="s">
        <v>17</v>
      </c>
    </row>
    <row r="11" spans="1:8" x14ac:dyDescent="0.25">
      <c r="A11" s="6" t="s">
        <v>20</v>
      </c>
      <c r="B11" s="1">
        <v>886</v>
      </c>
      <c r="C11" s="18"/>
      <c r="D11" s="1">
        <v>995</v>
      </c>
      <c r="E11" s="1">
        <f>IF(C11,995,0)</f>
        <v>0</v>
      </c>
      <c r="F11" s="1"/>
      <c r="G11" s="28" t="s">
        <v>22</v>
      </c>
      <c r="H11" s="29" t="s">
        <v>103</v>
      </c>
    </row>
    <row r="12" spans="1:8" x14ac:dyDescent="0.25">
      <c r="A12" s="5" t="s">
        <v>21</v>
      </c>
      <c r="B12" s="1">
        <v>616</v>
      </c>
      <c r="C12" s="18"/>
      <c r="D12" s="1">
        <v>695</v>
      </c>
      <c r="E12" s="1">
        <f>IF(C12,695,0)</f>
        <v>0</v>
      </c>
      <c r="F12" s="1"/>
      <c r="G12" s="28" t="s">
        <v>22</v>
      </c>
      <c r="H12" s="29" t="s">
        <v>103</v>
      </c>
    </row>
    <row r="13" spans="1:8" x14ac:dyDescent="0.25">
      <c r="A13" s="6" t="s">
        <v>104</v>
      </c>
      <c r="B13" s="1">
        <v>530</v>
      </c>
      <c r="C13" s="18"/>
      <c r="D13" s="1">
        <v>595</v>
      </c>
      <c r="E13" s="1">
        <f>IF(C13,595,0)</f>
        <v>0</v>
      </c>
      <c r="F13" s="1"/>
      <c r="G13" s="28" t="s">
        <v>105</v>
      </c>
      <c r="H13" s="29" t="s">
        <v>100</v>
      </c>
    </row>
    <row r="14" spans="1:8" x14ac:dyDescent="0.25">
      <c r="A14" s="5" t="s">
        <v>106</v>
      </c>
      <c r="B14" s="1">
        <v>352</v>
      </c>
      <c r="C14" s="18"/>
      <c r="D14" s="1">
        <v>395</v>
      </c>
      <c r="E14" s="1">
        <f>IF(C14,395,0)</f>
        <v>0</v>
      </c>
      <c r="F14" s="1"/>
      <c r="G14" s="28" t="s">
        <v>105</v>
      </c>
      <c r="H14" s="29" t="s">
        <v>100</v>
      </c>
    </row>
    <row r="15" spans="1:8" x14ac:dyDescent="0.25">
      <c r="A15" s="5" t="s">
        <v>107</v>
      </c>
      <c r="B15" s="1">
        <v>441</v>
      </c>
      <c r="C15" s="18"/>
      <c r="D15" s="1">
        <v>495</v>
      </c>
      <c r="E15" s="1">
        <f>IF(C15,495,0)</f>
        <v>0</v>
      </c>
      <c r="F15" s="1"/>
      <c r="G15" s="28" t="s">
        <v>108</v>
      </c>
      <c r="H15" s="29" t="s">
        <v>109</v>
      </c>
    </row>
    <row r="16" spans="1:8" x14ac:dyDescent="0.25">
      <c r="A16" s="4" t="s">
        <v>23</v>
      </c>
      <c r="B16" s="1">
        <v>2043</v>
      </c>
      <c r="C16" s="18"/>
      <c r="D16" s="1">
        <v>2295</v>
      </c>
      <c r="E16" s="1">
        <f>IF(C16,2295,0)</f>
        <v>0</v>
      </c>
      <c r="F16" s="1"/>
      <c r="G16" s="28" t="s">
        <v>24</v>
      </c>
      <c r="H16" s="29" t="s">
        <v>100</v>
      </c>
    </row>
    <row r="17" spans="1:8" x14ac:dyDescent="0.25">
      <c r="A17" s="4" t="s">
        <v>36</v>
      </c>
      <c r="B17" s="1">
        <v>85</v>
      </c>
      <c r="C17" s="18"/>
      <c r="D17" s="1">
        <v>95</v>
      </c>
      <c r="E17" s="1">
        <f>IF(C17,95,0)</f>
        <v>0</v>
      </c>
      <c r="F17" s="1"/>
      <c r="G17" s="1" t="s">
        <v>37</v>
      </c>
    </row>
    <row r="18" spans="1:8" x14ac:dyDescent="0.25">
      <c r="A18" s="4" t="s">
        <v>39</v>
      </c>
      <c r="B18" s="1">
        <v>174</v>
      </c>
      <c r="C18" s="18"/>
      <c r="D18" s="1">
        <v>195</v>
      </c>
      <c r="E18" s="1">
        <f>IF(C18,195,0)</f>
        <v>0</v>
      </c>
      <c r="F18" s="1"/>
      <c r="G18" s="1" t="s">
        <v>40</v>
      </c>
    </row>
    <row r="19" spans="1:8" x14ac:dyDescent="0.25">
      <c r="A19" s="4" t="s">
        <v>42</v>
      </c>
      <c r="B19" s="1">
        <v>530</v>
      </c>
      <c r="C19" s="18"/>
      <c r="D19" s="1">
        <v>595</v>
      </c>
      <c r="E19" s="1">
        <f>IF(C19,595,0)</f>
        <v>0</v>
      </c>
      <c r="F19" s="1"/>
      <c r="G19" s="28" t="s">
        <v>43</v>
      </c>
      <c r="H19" s="29" t="s">
        <v>100</v>
      </c>
    </row>
    <row r="20" spans="1:8" x14ac:dyDescent="0.25">
      <c r="A20" s="4" t="s">
        <v>138</v>
      </c>
      <c r="B20" s="1">
        <v>708</v>
      </c>
      <c r="C20" s="18"/>
      <c r="D20" s="1">
        <v>795</v>
      </c>
      <c r="E20" s="1">
        <f>IF(C20,795,0)</f>
        <v>0</v>
      </c>
      <c r="F20" s="1"/>
      <c r="G20" s="28" t="s">
        <v>144</v>
      </c>
      <c r="H20" s="29" t="s">
        <v>100</v>
      </c>
    </row>
    <row r="21" spans="1:8" x14ac:dyDescent="0.25">
      <c r="A21" s="4" t="s">
        <v>31</v>
      </c>
      <c r="B21" s="1">
        <v>886</v>
      </c>
      <c r="C21" s="18"/>
      <c r="D21" s="1">
        <v>995</v>
      </c>
      <c r="E21" s="1">
        <f>IF(C21,995,0)</f>
        <v>0</v>
      </c>
      <c r="F21" s="1"/>
      <c r="G21" s="28" t="s">
        <v>84</v>
      </c>
      <c r="H21" s="29" t="s">
        <v>100</v>
      </c>
    </row>
    <row r="22" spans="1:8" x14ac:dyDescent="0.25">
      <c r="A22" s="4" t="s">
        <v>110</v>
      </c>
      <c r="B22" s="1">
        <v>263</v>
      </c>
      <c r="C22" s="18"/>
      <c r="D22" s="1">
        <v>295</v>
      </c>
      <c r="E22" s="1">
        <f>IF(C22,295,0)</f>
        <v>0</v>
      </c>
      <c r="F22" s="1"/>
      <c r="G22" s="1" t="s">
        <v>111</v>
      </c>
    </row>
    <row r="23" spans="1:8" x14ac:dyDescent="0.25">
      <c r="A23" s="6" t="s">
        <v>44</v>
      </c>
      <c r="B23" s="1">
        <v>27</v>
      </c>
      <c r="C23" s="18"/>
      <c r="D23" s="1">
        <v>30</v>
      </c>
      <c r="E23" s="1">
        <f>IF(C23,30,0)</f>
        <v>0</v>
      </c>
      <c r="F23" s="1"/>
      <c r="G23" s="1" t="s">
        <v>45</v>
      </c>
    </row>
    <row r="24" spans="1:8" x14ac:dyDescent="0.25">
      <c r="A24" s="6" t="s">
        <v>46</v>
      </c>
      <c r="B24" s="1">
        <v>67</v>
      </c>
      <c r="C24" s="18"/>
      <c r="D24" s="1">
        <v>75</v>
      </c>
      <c r="E24" s="1">
        <f>IF(C24,75,0)</f>
        <v>0</v>
      </c>
      <c r="F24" s="1"/>
      <c r="G24" s="28" t="s">
        <v>47</v>
      </c>
      <c r="H24" s="29" t="s">
        <v>100</v>
      </c>
    </row>
    <row r="25" spans="1:8" x14ac:dyDescent="0.25">
      <c r="A25" s="6" t="s">
        <v>112</v>
      </c>
      <c r="B25" s="1">
        <v>886</v>
      </c>
      <c r="C25" s="18"/>
      <c r="D25" s="1">
        <v>995</v>
      </c>
      <c r="E25" s="1">
        <f>IF(C25,995,0)</f>
        <v>0</v>
      </c>
      <c r="F25" s="1"/>
      <c r="G25" s="28" t="s">
        <v>113</v>
      </c>
      <c r="H25" s="29" t="s">
        <v>100</v>
      </c>
    </row>
    <row r="26" spans="1:8" x14ac:dyDescent="0.25">
      <c r="A26" s="4" t="s">
        <v>34</v>
      </c>
      <c r="B26" s="1">
        <v>708</v>
      </c>
      <c r="C26" s="18"/>
      <c r="D26" s="1">
        <v>795</v>
      </c>
      <c r="E26" s="1">
        <f>IF(C26,795,0)</f>
        <v>0</v>
      </c>
      <c r="F26" s="1"/>
      <c r="G26" s="1" t="s">
        <v>35</v>
      </c>
    </row>
    <row r="27" spans="1:8" x14ac:dyDescent="0.25">
      <c r="A27" s="4" t="s">
        <v>128</v>
      </c>
      <c r="B27" s="1">
        <v>174</v>
      </c>
      <c r="C27" s="18"/>
      <c r="D27" s="1">
        <v>195</v>
      </c>
      <c r="E27" s="1">
        <f>IF(C27,195,0)</f>
        <v>0</v>
      </c>
      <c r="F27" s="1"/>
      <c r="G27" s="28" t="s">
        <v>129</v>
      </c>
      <c r="H27" s="29" t="s">
        <v>100</v>
      </c>
    </row>
    <row r="28" spans="1:8" x14ac:dyDescent="0.25">
      <c r="A28" s="4" t="s">
        <v>114</v>
      </c>
      <c r="B28" s="1">
        <v>619</v>
      </c>
      <c r="C28" s="18"/>
      <c r="D28" s="1">
        <v>695</v>
      </c>
      <c r="E28" s="1">
        <f>IF(C28,695,0)</f>
        <v>0</v>
      </c>
      <c r="F28" s="1"/>
      <c r="G28" s="28" t="s">
        <v>115</v>
      </c>
      <c r="H28" s="29" t="s">
        <v>100</v>
      </c>
    </row>
    <row r="29" spans="1:8" x14ac:dyDescent="0.25">
      <c r="A29" s="6" t="s">
        <v>50</v>
      </c>
      <c r="B29" s="1">
        <v>132</v>
      </c>
      <c r="C29" s="18"/>
      <c r="D29" s="1">
        <v>150</v>
      </c>
      <c r="E29" s="1">
        <f>IF(C29,150,0)</f>
        <v>0</v>
      </c>
      <c r="F29" s="1"/>
      <c r="G29" s="1" t="s">
        <v>51</v>
      </c>
    </row>
    <row r="30" spans="1:8" x14ac:dyDescent="0.25">
      <c r="A30" s="6" t="s">
        <v>52</v>
      </c>
      <c r="B30" s="1">
        <v>467</v>
      </c>
      <c r="C30" s="18"/>
      <c r="D30" s="1">
        <v>525</v>
      </c>
      <c r="E30" s="1">
        <f>IF(C30,525,0)</f>
        <v>0</v>
      </c>
      <c r="F30" s="1"/>
      <c r="G30" s="28" t="s">
        <v>53</v>
      </c>
      <c r="H30" s="29" t="s">
        <v>100</v>
      </c>
    </row>
    <row r="31" spans="1:8" x14ac:dyDescent="0.25">
      <c r="A31" s="6" t="s">
        <v>151</v>
      </c>
      <c r="B31" s="1">
        <v>601</v>
      </c>
      <c r="C31" s="18"/>
      <c r="D31" s="1">
        <v>675</v>
      </c>
      <c r="E31" s="1">
        <f>IF(C31,675,0)</f>
        <v>0</v>
      </c>
      <c r="F31" s="1"/>
      <c r="G31" s="1" t="s">
        <v>152</v>
      </c>
    </row>
    <row r="32" spans="1:8" x14ac:dyDescent="0.25">
      <c r="A32" s="6" t="s">
        <v>153</v>
      </c>
      <c r="B32" s="1">
        <v>1558</v>
      </c>
      <c r="C32" s="18"/>
      <c r="D32" s="1">
        <v>1750</v>
      </c>
      <c r="E32" s="1">
        <f>IF(C32,1750,0)</f>
        <v>0</v>
      </c>
      <c r="F32" s="1"/>
      <c r="G32" s="1" t="s">
        <v>155</v>
      </c>
    </row>
    <row r="33" spans="1:8" x14ac:dyDescent="0.25">
      <c r="A33" s="6" t="s">
        <v>154</v>
      </c>
      <c r="B33" s="1">
        <v>1558</v>
      </c>
      <c r="C33" s="18"/>
      <c r="D33" s="1">
        <v>1750</v>
      </c>
      <c r="E33" s="1">
        <f>IF(C33,1750,0)</f>
        <v>0</v>
      </c>
      <c r="F33" s="1"/>
      <c r="G33" s="1" t="s">
        <v>156</v>
      </c>
    </row>
    <row r="34" spans="1:8" x14ac:dyDescent="0.25">
      <c r="A34" s="6" t="s">
        <v>116</v>
      </c>
      <c r="B34" s="10" t="s">
        <v>6</v>
      </c>
      <c r="C34" s="18"/>
      <c r="D34" s="10" t="s">
        <v>6</v>
      </c>
      <c r="E34" s="1"/>
      <c r="F34" s="1"/>
      <c r="G34" s="1" t="s">
        <v>117</v>
      </c>
    </row>
    <row r="35" spans="1:8" x14ac:dyDescent="0.25">
      <c r="A35" s="26" t="s">
        <v>87</v>
      </c>
      <c r="B35" s="10" t="s">
        <v>139</v>
      </c>
      <c r="C35" s="38"/>
      <c r="D35" s="10" t="s">
        <v>139</v>
      </c>
      <c r="E35" s="37"/>
      <c r="F35" s="1"/>
      <c r="G35" s="1" t="s">
        <v>118</v>
      </c>
    </row>
    <row r="36" spans="1:8" x14ac:dyDescent="0.25">
      <c r="A36" s="7" t="s">
        <v>60</v>
      </c>
      <c r="B36" s="1"/>
      <c r="C36" s="1">
        <f>SUM(C2:C35)</f>
        <v>31007</v>
      </c>
      <c r="D36" s="1"/>
      <c r="E36" s="1">
        <f>SUM(E2:E35)</f>
        <v>31545</v>
      </c>
      <c r="F36" s="1"/>
      <c r="G36" s="1"/>
    </row>
    <row r="37" spans="1:8" x14ac:dyDescent="0.25">
      <c r="A37" s="7" t="s">
        <v>61</v>
      </c>
      <c r="B37" s="1">
        <v>1495</v>
      </c>
      <c r="C37" s="1">
        <f>SUM(B37)</f>
        <v>1495</v>
      </c>
      <c r="D37" s="1"/>
      <c r="E37" s="1">
        <f>SUM(B37)</f>
        <v>1495</v>
      </c>
      <c r="F37" s="1"/>
      <c r="G37" s="1"/>
    </row>
    <row r="38" spans="1:8" x14ac:dyDescent="0.25">
      <c r="A38" s="7" t="s">
        <v>146</v>
      </c>
      <c r="B38" s="1"/>
      <c r="C38" s="1">
        <f>SUM(C37,C36)</f>
        <v>32502</v>
      </c>
      <c r="D38" s="1"/>
      <c r="E38" s="1">
        <f>SUM(E37,E36)</f>
        <v>33040</v>
      </c>
      <c r="F38" s="1"/>
      <c r="G38" s="1"/>
    </row>
    <row r="39" spans="1:8" x14ac:dyDescent="0.25">
      <c r="A39" s="8" t="s">
        <v>63</v>
      </c>
      <c r="B39" s="1">
        <f>PRODUCT(C38,0.99)</f>
        <v>32176.98</v>
      </c>
      <c r="C39" s="19"/>
      <c r="D39" s="1"/>
      <c r="E39" s="1"/>
      <c r="F39" s="1"/>
      <c r="G39" s="1"/>
      <c r="H39" s="12" t="s">
        <v>71</v>
      </c>
    </row>
    <row r="40" spans="1:8" x14ac:dyDescent="0.25">
      <c r="A40" s="8" t="s">
        <v>64</v>
      </c>
      <c r="B40" s="1">
        <f>PRODUCT(C38,0.98)</f>
        <v>31851.96</v>
      </c>
      <c r="C40" s="19"/>
      <c r="D40" s="1"/>
      <c r="E40" s="1"/>
      <c r="F40" s="1"/>
      <c r="G40" s="1"/>
    </row>
    <row r="41" spans="1:8" x14ac:dyDescent="0.25">
      <c r="A41" s="8" t="s">
        <v>65</v>
      </c>
      <c r="B41" s="1">
        <f>PRODUCT(C38,0.97)</f>
        <v>31526.94</v>
      </c>
      <c r="C41" s="19"/>
      <c r="D41" s="1"/>
      <c r="E41" s="1"/>
      <c r="F41" s="1"/>
      <c r="G41" s="1"/>
    </row>
    <row r="42" spans="1:8" x14ac:dyDescent="0.25">
      <c r="A42" s="8" t="s">
        <v>66</v>
      </c>
      <c r="B42" s="1">
        <f>PRODUCT(C38,0.96)</f>
        <v>31201.919999999998</v>
      </c>
      <c r="C42" s="19"/>
      <c r="D42" s="1"/>
      <c r="E42" s="1"/>
      <c r="F42" s="1"/>
      <c r="G42" s="1"/>
    </row>
    <row r="43" spans="1:8" x14ac:dyDescent="0.25">
      <c r="A43" s="8" t="s">
        <v>67</v>
      </c>
      <c r="B43" s="1">
        <f>PRODUCT(C38,0.95)</f>
        <v>30876.899999999998</v>
      </c>
      <c r="C43" s="19"/>
      <c r="D43" s="1"/>
      <c r="E43" s="1"/>
      <c r="F43" s="1"/>
      <c r="G43" s="1"/>
    </row>
    <row r="44" spans="1:8" x14ac:dyDescent="0.25">
      <c r="A44" s="8" t="s">
        <v>147</v>
      </c>
      <c r="B44" s="1">
        <f>PRODUCT(C38,0.94)</f>
        <v>30551.879999999997</v>
      </c>
      <c r="C44" s="19"/>
      <c r="D44" s="1"/>
      <c r="E44" s="1"/>
      <c r="F44" s="1"/>
      <c r="G44" s="1"/>
    </row>
    <row r="45" spans="1:8" x14ac:dyDescent="0.25">
      <c r="A45" s="8" t="s">
        <v>148</v>
      </c>
      <c r="B45" s="1">
        <f>PRODUCT(C38,0.93)</f>
        <v>30226.86</v>
      </c>
      <c r="C45" s="19"/>
      <c r="D45" s="1"/>
      <c r="E45" s="1"/>
      <c r="F45" s="1"/>
      <c r="G45" s="1"/>
    </row>
    <row r="46" spans="1:8" x14ac:dyDescent="0.25">
      <c r="A46" s="8" t="s">
        <v>149</v>
      </c>
      <c r="B46" s="1">
        <f>PRODUCT(C38,0.92)</f>
        <v>29901.84</v>
      </c>
      <c r="C46" s="19"/>
      <c r="D46" s="1"/>
      <c r="E46" s="1"/>
    </row>
    <row r="47" spans="1:8" x14ac:dyDescent="0.25">
      <c r="A47" s="9" t="s">
        <v>68</v>
      </c>
      <c r="B47" s="20"/>
      <c r="C47" s="1">
        <f>IF(B47,B47,0)</f>
        <v>0</v>
      </c>
      <c r="D47" s="1"/>
      <c r="E47" s="1">
        <f>IF(B47,B47,0)</f>
        <v>0</v>
      </c>
      <c r="H47" s="13" t="s">
        <v>69</v>
      </c>
    </row>
    <row r="48" spans="1:8" x14ac:dyDescent="0.25">
      <c r="A48" s="9" t="s">
        <v>150</v>
      </c>
      <c r="B48" s="1"/>
      <c r="C48" s="1">
        <f>SUM(C39,C40,C41,C42,C43,C44,C45,C46,-C47)</f>
        <v>0</v>
      </c>
      <c r="D48" s="1"/>
      <c r="E48" s="1">
        <f>SUM(E38,-E47)</f>
        <v>33040</v>
      </c>
    </row>
    <row r="49" spans="1:8" x14ac:dyDescent="0.25">
      <c r="A49" s="9" t="s">
        <v>62</v>
      </c>
      <c r="B49" s="21"/>
      <c r="C49" s="1">
        <f>IF(B49,PRODUCT(C48,B49),0)</f>
        <v>0</v>
      </c>
      <c r="D49" s="1"/>
      <c r="E49" s="1">
        <f>IF(B49,PRODUCT(E48,B49),0)</f>
        <v>0</v>
      </c>
      <c r="H49" s="14" t="s">
        <v>74</v>
      </c>
    </row>
    <row r="50" spans="1:8" x14ac:dyDescent="0.25">
      <c r="A50" s="7" t="s">
        <v>60</v>
      </c>
      <c r="B50" s="1"/>
      <c r="C50" s="1">
        <f>SUM(C48:C49)</f>
        <v>0</v>
      </c>
      <c r="D50" s="1"/>
      <c r="E50" s="1">
        <f>SUM(E48:E49)</f>
        <v>33040</v>
      </c>
      <c r="H50" s="14" t="s">
        <v>70</v>
      </c>
    </row>
  </sheetData>
  <sheetProtection algorithmName="SHA-512" hashValue="UOBgzAClB+A+Te3/A10DVPqEX1+2KtjOYedFHfM1gtJ6akbM/Sb19wkAT/bPDsL3IJzquxFBgLHFwX2xwKdu/Q==" saltValue="bdLBZBze4CpQrB7iVvHOfw==" spinCount="100000" sheet="1" objects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Rubicon</vt:lpstr>
      <vt:lpstr>Sahara</vt:lpstr>
      <vt:lpstr>Sport</vt:lpstr>
      <vt:lpstr>Rubicon!Print_Area</vt:lpstr>
    </vt:vector>
  </TitlesOfParts>
  <Company>CUFSD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Pratt</dc:creator>
  <cp:lastModifiedBy>Ken Pratt</cp:lastModifiedBy>
  <cp:lastPrinted>2018-01-25T14:04:13Z</cp:lastPrinted>
  <dcterms:created xsi:type="dcterms:W3CDTF">2018-01-19T16:56:03Z</dcterms:created>
  <dcterms:modified xsi:type="dcterms:W3CDTF">2019-03-11T00:52:34Z</dcterms:modified>
</cp:coreProperties>
</file>