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Rubicon" sheetId="1" r:id="rId3"/>
    <sheet state="visible" name="Sport" sheetId="2" r:id="rId4"/>
  </sheets>
  <definedNames/>
  <calcPr/>
</workbook>
</file>

<file path=xl/sharedStrings.xml><?xml version="1.0" encoding="utf-8"?>
<sst xmlns="http://schemas.openxmlformats.org/spreadsheetml/2006/main" count="182" uniqueCount="111">
  <si>
    <t>Option</t>
  </si>
  <si>
    <t>Invoice price</t>
  </si>
  <si>
    <t>MSRP</t>
  </si>
  <si>
    <t>Man. Code</t>
  </si>
  <si>
    <t xml:space="preserve">JL Sport </t>
  </si>
  <si>
    <t xml:space="preserve">JL Rubicon </t>
  </si>
  <si>
    <t>JLJL72</t>
  </si>
  <si>
    <t>JLJS72</t>
  </si>
  <si>
    <t>Fill in blue section w/invoice price</t>
  </si>
  <si>
    <t>8 Speed Auto</t>
  </si>
  <si>
    <t>24R</t>
  </si>
  <si>
    <t>24B</t>
  </si>
  <si>
    <t>for your desired options</t>
  </si>
  <si>
    <t>2.0 BSG Turbo*</t>
  </si>
  <si>
    <t>28B</t>
  </si>
  <si>
    <t>*Requires 8 Speed Auto (24B)</t>
  </si>
  <si>
    <t>28R</t>
  </si>
  <si>
    <t>*Requires 8 Speed Auto (24R)</t>
  </si>
  <si>
    <t>17x17.5 Black Wheels w/pol. Lip</t>
  </si>
  <si>
    <t>WLD</t>
  </si>
  <si>
    <t>Alpine Primium Audio</t>
  </si>
  <si>
    <t>Sport S Package</t>
  </si>
  <si>
    <t>RC4</t>
  </si>
  <si>
    <t>Black 3 Piece Hard Top</t>
  </si>
  <si>
    <t>23S</t>
  </si>
  <si>
    <t>17x17.5 Polished Granite Whls</t>
  </si>
  <si>
    <t>HT1</t>
  </si>
  <si>
    <t>Body Colored 3 Piece HT</t>
  </si>
  <si>
    <t>WBG</t>
  </si>
  <si>
    <t>HT3</t>
  </si>
  <si>
    <t>Body Colored Fender Flares</t>
  </si>
  <si>
    <t>Requires Sport Package</t>
  </si>
  <si>
    <t>MM3</t>
  </si>
  <si>
    <t>Cold Weather Group</t>
  </si>
  <si>
    <t>Air Conditioning</t>
  </si>
  <si>
    <t>HAA</t>
  </si>
  <si>
    <t>Included W/Sport Package</t>
  </si>
  <si>
    <t>Alpine Premium Audio</t>
  </si>
  <si>
    <t>ADE</t>
  </si>
  <si>
    <t>Anti-Spin Rear Differential</t>
  </si>
  <si>
    <t>w/Manual Transmission</t>
  </si>
  <si>
    <t>DSA</t>
  </si>
  <si>
    <t>Electronic Infotainment</t>
  </si>
  <si>
    <t>AEK</t>
  </si>
  <si>
    <t>Engine Block Heater</t>
  </si>
  <si>
    <t>NHK</t>
  </si>
  <si>
    <t>Jeep Trail Rated Kit</t>
  </si>
  <si>
    <t>Requires ADC</t>
  </si>
  <si>
    <t>XWX</t>
  </si>
  <si>
    <t>LED Lighting Group</t>
  </si>
  <si>
    <t>Convenience Group</t>
  </si>
  <si>
    <t>AD6</t>
  </si>
  <si>
    <t>ADC</t>
  </si>
  <si>
    <t>Premium Black Sun. Soft Top</t>
  </si>
  <si>
    <t>W/ADE and/or DEM</t>
  </si>
  <si>
    <t>STB</t>
  </si>
  <si>
    <t>Remote Proximity Keyless</t>
  </si>
  <si>
    <t>Deep Tint Sunscreen Windows</t>
  </si>
  <si>
    <t>GCD</t>
  </si>
  <si>
    <t>GXD</t>
  </si>
  <si>
    <t>Remote Start (req. 24R)</t>
  </si>
  <si>
    <t>XBM</t>
  </si>
  <si>
    <t xml:space="preserve">w/ADE </t>
  </si>
  <si>
    <t>Included</t>
  </si>
  <si>
    <t>Safety Group</t>
  </si>
  <si>
    <t>w/AD6</t>
  </si>
  <si>
    <t>AJ1</t>
  </si>
  <si>
    <t>SiriusXM Satellite Radio</t>
  </si>
  <si>
    <t>Smoker's Group</t>
  </si>
  <si>
    <t>RSD</t>
  </si>
  <si>
    <t>AWS</t>
  </si>
  <si>
    <t>Soft Top Window Stor. Bag</t>
  </si>
  <si>
    <t>CWJ</t>
  </si>
  <si>
    <t>Steel Bumpers</t>
  </si>
  <si>
    <t>Technology Group</t>
  </si>
  <si>
    <t>AST</t>
  </si>
  <si>
    <t>AAN</t>
  </si>
  <si>
    <t>Tow/Heavy Duty Electronic Gp</t>
  </si>
  <si>
    <t>ADH</t>
  </si>
  <si>
    <t>Trail Rail Mgt. System</t>
  </si>
  <si>
    <t>CMD</t>
  </si>
  <si>
    <t>Tubular Side Steps</t>
  </si>
  <si>
    <t>Mopar All Season Floor Mats</t>
  </si>
  <si>
    <t>CWA</t>
  </si>
  <si>
    <t>Hard Top Headliner</t>
  </si>
  <si>
    <t>CHD</t>
  </si>
  <si>
    <t>Premium Cloth Interior</t>
  </si>
  <si>
    <t>N/C</t>
  </si>
  <si>
    <t>D5X9</t>
  </si>
  <si>
    <t>MRK</t>
  </si>
  <si>
    <t>Leather Interior, Black</t>
  </si>
  <si>
    <t>ALX9</t>
  </si>
  <si>
    <t>w/Heritage Tan</t>
  </si>
  <si>
    <t>ALT5</t>
  </si>
  <si>
    <t>Total</t>
  </si>
  <si>
    <t>Cloth Low Back Bucket Seats, Black</t>
  </si>
  <si>
    <t>A7X9</t>
  </si>
  <si>
    <t>w/ Heritage Tan</t>
  </si>
  <si>
    <t>A7T5</t>
  </si>
  <si>
    <t>1% Below Invoice</t>
  </si>
  <si>
    <t>Enter one discounted price</t>
  </si>
  <si>
    <t>2% Below invoice</t>
  </si>
  <si>
    <t>3% Below Invoice</t>
  </si>
  <si>
    <t>4% Below invoice</t>
  </si>
  <si>
    <t>5% below invoice</t>
  </si>
  <si>
    <t>Trade In Value</t>
  </si>
  <si>
    <t>Enter Trade In value</t>
  </si>
  <si>
    <t>Destination Charge</t>
  </si>
  <si>
    <t>Enter Tax Rate (as a decimal)</t>
  </si>
  <si>
    <t>Enter Tax Rate as a decimal</t>
  </si>
  <si>
    <t>Example: 6.5%=.065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</si>
</sst>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</font>
    <font>
      <b/>
      <sz val="11.0"/>
      <color rgb="FF000000"/>
      <name val="Calibri"/>
    </font>
    <font>
      <b/>
      <sz val="16.0"/>
      <color rgb="FF000000"/>
      <name val="Calibri"/>
    </font>
  </fonts>
  <fills count="13">
    <fill>
      <patternFill patternType="none"/>
    </fill>
    <fill>
      <patternFill patternType="lightGray"/>
    </fill>
    <fill>
      <patternFill patternType="solid">
        <fgColor rgb="FF5B9BD5"/>
        <bgColor rgb="FF5B9BD5"/>
      </patternFill>
    </fill>
    <fill>
      <patternFill patternType="solid">
        <fgColor rgb="FFDEEAF6"/>
        <bgColor rgb="FFDEEAF6"/>
      </patternFill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9CC2E5"/>
        <bgColor rgb="FF9CC2E5"/>
      </patternFill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rgb="FFF4B083"/>
        <bgColor rgb="FFF4B083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E598"/>
        <bgColor rgb="FFFFE598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0" fontId="1" numFmtId="0" xfId="0" applyBorder="1" applyFont="1"/>
    <xf borderId="0" fillId="0" fontId="1" numFmtId="0" xfId="0" applyFont="1"/>
    <xf borderId="1" fillId="3" fontId="2" numFmtId="0" xfId="0" applyBorder="1" applyFill="1" applyFont="1"/>
    <xf borderId="1" fillId="0" fontId="2" numFmtId="0" xfId="0" applyBorder="1" applyFont="1"/>
    <xf borderId="1" fillId="4" fontId="2" numFmtId="0" xfId="0" applyBorder="1" applyFill="1" applyFont="1"/>
    <xf borderId="2" fillId="5" fontId="1" numFmtId="0" xfId="0" applyAlignment="1" applyBorder="1" applyFill="1" applyFont="1">
      <alignment horizontal="center"/>
    </xf>
    <xf borderId="1" fillId="3" fontId="1" numFmtId="0" xfId="0" applyBorder="1" applyFont="1"/>
    <xf borderId="1" fillId="4" fontId="1" numFmtId="0" xfId="0" applyBorder="1" applyFont="1"/>
    <xf borderId="1" fillId="6" fontId="1" numFmtId="0" xfId="0" applyBorder="1" applyFill="1" applyFont="1"/>
    <xf borderId="2" fillId="2" fontId="1" numFmtId="0" xfId="0" applyAlignment="1" applyBorder="1" applyFont="1">
      <alignment horizontal="left"/>
    </xf>
    <xf borderId="2" fillId="6" fontId="1" numFmtId="0" xfId="0" applyBorder="1" applyFont="1"/>
    <xf borderId="2" fillId="2" fontId="1" numFmtId="0" xfId="0" applyBorder="1" applyFont="1"/>
    <xf borderId="1" fillId="7" fontId="1" numFmtId="0" xfId="0" applyBorder="1" applyFill="1" applyFont="1"/>
    <xf borderId="2" fillId="7" fontId="1" numFmtId="0" xfId="0" applyBorder="1" applyFont="1"/>
    <xf borderId="1" fillId="3" fontId="1" numFmtId="0" xfId="0" applyAlignment="1" applyBorder="1" applyFont="1">
      <alignment horizontal="left"/>
    </xf>
    <xf borderId="1" fillId="3" fontId="1" numFmtId="0" xfId="0" applyAlignment="1" applyBorder="1" applyFont="1">
      <alignment horizontal="right"/>
    </xf>
    <xf borderId="2" fillId="8" fontId="1" numFmtId="0" xfId="0" applyAlignment="1" applyBorder="1" applyFill="1" applyFont="1">
      <alignment horizontal="center"/>
    </xf>
    <xf borderId="1" fillId="0" fontId="1" numFmtId="0" xfId="0" applyAlignment="1" applyBorder="1" applyFont="1">
      <alignment horizontal="right"/>
    </xf>
    <xf borderId="1" fillId="0" fontId="1" numFmtId="0" xfId="0" applyAlignment="1" applyBorder="1" applyFont="1">
      <alignment horizontal="left"/>
    </xf>
    <xf borderId="1" fillId="9" fontId="1" numFmtId="0" xfId="0" applyAlignment="1" applyBorder="1" applyFill="1" applyFont="1">
      <alignment horizontal="left"/>
    </xf>
    <xf borderId="1" fillId="10" fontId="1" numFmtId="0" xfId="0" applyBorder="1" applyFill="1" applyFont="1"/>
    <xf borderId="2" fillId="10" fontId="1" numFmtId="0" xfId="0" applyAlignment="1" applyBorder="1" applyFont="1">
      <alignment horizontal="center"/>
    </xf>
    <xf borderId="1" fillId="8" fontId="1" numFmtId="0" xfId="0" applyAlignment="1" applyBorder="1" applyFont="1">
      <alignment horizontal="left"/>
    </xf>
    <xf borderId="1" fillId="11" fontId="1" numFmtId="0" xfId="0" applyBorder="1" applyFill="1" applyFont="1"/>
    <xf borderId="2" fillId="11" fontId="1" numFmtId="0" xfId="0" applyAlignment="1" applyBorder="1" applyFont="1">
      <alignment horizontal="center"/>
    </xf>
    <xf borderId="1" fillId="12" fontId="1" numFmtId="0" xfId="0" applyBorder="1" applyFill="1" applyFont="1"/>
    <xf borderId="2" fillId="12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12.29"/>
    <col customWidth="1" min="3" max="7" width="9.14"/>
    <col customWidth="1" min="8" max="8" width="36.0"/>
    <col customWidth="1" min="9" max="26" width="8.71"/>
  </cols>
  <sheetData>
    <row r="1">
      <c r="A1" s="1" t="s">
        <v>0</v>
      </c>
      <c r="B1" s="1" t="s">
        <v>1</v>
      </c>
      <c r="C1" s="2"/>
      <c r="D1" s="1" t="s">
        <v>2</v>
      </c>
      <c r="E1" s="2"/>
      <c r="F1" s="2"/>
      <c r="G1" s="1" t="s">
        <v>3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9.25" customHeight="1">
      <c r="A2" s="4" t="s">
        <v>5</v>
      </c>
      <c r="B2" s="5">
        <v>35710.0</v>
      </c>
      <c r="C2" s="6">
        <v>35710.0</v>
      </c>
      <c r="D2" s="5">
        <v>37495.0</v>
      </c>
      <c r="E2" s="5">
        <v>37495.0</v>
      </c>
      <c r="F2" s="5"/>
      <c r="G2" s="5" t="s">
        <v>7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8" t="s">
        <v>9</v>
      </c>
      <c r="B3" s="2">
        <v>1780.0</v>
      </c>
      <c r="C3" s="9">
        <f>IF(C4,1780,0)</f>
        <v>0</v>
      </c>
      <c r="D3" s="2">
        <v>2000.0</v>
      </c>
      <c r="E3" s="2">
        <f>IF(C3,2000,0)</f>
        <v>0</v>
      </c>
      <c r="F3" s="2"/>
      <c r="G3" s="2" t="s">
        <v>10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10" t="s">
        <v>13</v>
      </c>
      <c r="B4" s="10">
        <v>890.0</v>
      </c>
      <c r="C4" s="10"/>
      <c r="D4" s="10">
        <v>1000.0</v>
      </c>
      <c r="E4" s="10">
        <f>IF(C4,1000,0)</f>
        <v>0</v>
      </c>
      <c r="F4" s="10"/>
      <c r="G4" s="10" t="s">
        <v>16</v>
      </c>
      <c r="H4" s="12" t="s">
        <v>17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>
      <c r="A5" s="8" t="s">
        <v>18</v>
      </c>
      <c r="B5" s="2">
        <v>797.0</v>
      </c>
      <c r="C5" s="9"/>
      <c r="D5" s="2">
        <v>895.0</v>
      </c>
      <c r="E5" s="2">
        <f>IF(C5,895,0)</f>
        <v>0</v>
      </c>
      <c r="F5" s="2"/>
      <c r="G5" s="2" t="s">
        <v>19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8" t="s">
        <v>20</v>
      </c>
      <c r="B6" s="2">
        <v>1153.0</v>
      </c>
      <c r="C6" s="9"/>
      <c r="D6" s="2">
        <v>1295.0</v>
      </c>
      <c r="E6" s="2">
        <f>IF(C6,1295,0)</f>
        <v>0</v>
      </c>
      <c r="F6" s="2"/>
      <c r="G6" s="2" t="s">
        <v>22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8" t="s">
        <v>23</v>
      </c>
      <c r="B7" s="2">
        <v>975.0</v>
      </c>
      <c r="C7" s="9"/>
      <c r="D7" s="2">
        <v>1095.0</v>
      </c>
      <c r="E7" s="2">
        <f>IF(C7,1095,0)</f>
        <v>0</v>
      </c>
      <c r="F7" s="2"/>
      <c r="G7" s="2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8" t="s">
        <v>27</v>
      </c>
      <c r="B8" s="2">
        <v>1856.0</v>
      </c>
      <c r="C8" s="9"/>
      <c r="D8" s="2">
        <v>2095.0</v>
      </c>
      <c r="E8" s="2">
        <f>IF(C8,2095,0)</f>
        <v>0</v>
      </c>
      <c r="F8" s="2"/>
      <c r="G8" s="2" t="s">
        <v>29</v>
      </c>
      <c r="H8" s="7" t="s">
        <v>8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8" t="s">
        <v>30</v>
      </c>
      <c r="B9" s="2">
        <v>352.0</v>
      </c>
      <c r="C9" s="9"/>
      <c r="D9" s="2">
        <v>395.0</v>
      </c>
      <c r="E9" s="2">
        <f>IF(C9,395,0)</f>
        <v>0</v>
      </c>
      <c r="F9" s="2"/>
      <c r="G9" s="2" t="s">
        <v>32</v>
      </c>
      <c r="H9" s="7" t="s">
        <v>12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6" t="s">
        <v>33</v>
      </c>
      <c r="B10" s="2">
        <v>797.0</v>
      </c>
      <c r="C10" s="9"/>
      <c r="D10" s="2">
        <v>895.0</v>
      </c>
      <c r="E10" s="2">
        <f>IF(C10,895,0)</f>
        <v>0</v>
      </c>
      <c r="F10" s="2"/>
      <c r="G10" s="2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7" t="s">
        <v>40</v>
      </c>
      <c r="B11" s="2">
        <v>530.0</v>
      </c>
      <c r="C11" s="9"/>
      <c r="D11" s="2">
        <v>595.0</v>
      </c>
      <c r="E11" s="2">
        <f>IF(C11,595,0)</f>
        <v>0</v>
      </c>
      <c r="F11" s="2"/>
      <c r="G11" s="2" t="s">
        <v>38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8" t="s">
        <v>42</v>
      </c>
      <c r="B12" s="2">
        <v>1331.0</v>
      </c>
      <c r="C12" s="9"/>
      <c r="D12" s="2">
        <v>1495.0</v>
      </c>
      <c r="E12" s="2">
        <f>IF(C12,1495,0)</f>
        <v>0</v>
      </c>
      <c r="F12" s="2"/>
      <c r="G12" s="2" t="s">
        <v>43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8" t="s">
        <v>44</v>
      </c>
      <c r="B13" s="2">
        <v>85.0</v>
      </c>
      <c r="C13" s="9"/>
      <c r="D13" s="2">
        <v>95.0</v>
      </c>
      <c r="E13" s="2">
        <f>IF(C13,95,0)</f>
        <v>0</v>
      </c>
      <c r="F13" s="2"/>
      <c r="G13" s="2" t="s">
        <v>45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8" t="s">
        <v>46</v>
      </c>
      <c r="B14" s="2">
        <v>174.0</v>
      </c>
      <c r="C14" s="9"/>
      <c r="D14" s="2">
        <v>195.0</v>
      </c>
      <c r="E14" s="2">
        <f>IF(C14,195,0)</f>
        <v>0</v>
      </c>
      <c r="F14" s="2"/>
      <c r="G14" s="2" t="s">
        <v>48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8" t="s">
        <v>49</v>
      </c>
      <c r="B15" s="2">
        <v>797.0</v>
      </c>
      <c r="C15" s="9"/>
      <c r="D15" s="2">
        <v>895.0</v>
      </c>
      <c r="E15" s="2">
        <f>IF(C15,895,0)</f>
        <v>0</v>
      </c>
      <c r="F15" s="2"/>
      <c r="G15" s="2" t="s">
        <v>51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8" t="s">
        <v>53</v>
      </c>
      <c r="B16" s="2">
        <v>530.0</v>
      </c>
      <c r="C16" s="9"/>
      <c r="D16" s="2">
        <v>595.0</v>
      </c>
      <c r="E16" s="2">
        <f>IF(C16,595,0)</f>
        <v>0</v>
      </c>
      <c r="F16" s="2"/>
      <c r="G16" s="2" t="s">
        <v>55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8" t="s">
        <v>56</v>
      </c>
      <c r="B17" s="2">
        <v>441.0</v>
      </c>
      <c r="C17" s="9"/>
      <c r="D17" s="2">
        <v>495.0</v>
      </c>
      <c r="E17" s="2">
        <f t="shared" ref="E17:E18" si="1">IF(C17,495,0)</f>
        <v>0</v>
      </c>
      <c r="F17" s="2"/>
      <c r="G17" s="2" t="s">
        <v>59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8" t="s">
        <v>60</v>
      </c>
      <c r="B18" s="2">
        <v>441.0</v>
      </c>
      <c r="C18" s="9"/>
      <c r="D18" s="2">
        <v>495.0</v>
      </c>
      <c r="E18" s="2">
        <f t="shared" si="1"/>
        <v>0</v>
      </c>
      <c r="F18" s="2"/>
      <c r="G18" s="2" t="s">
        <v>61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7" t="s">
        <v>62</v>
      </c>
      <c r="B19" s="19" t="s">
        <v>63</v>
      </c>
      <c r="C19" s="9"/>
      <c r="D19" s="19" t="s">
        <v>63</v>
      </c>
      <c r="E19" s="2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8" t="s">
        <v>64</v>
      </c>
      <c r="B20" s="2">
        <v>797.0</v>
      </c>
      <c r="C20" s="9"/>
      <c r="D20" s="2">
        <v>895.0</v>
      </c>
      <c r="E20" s="2">
        <f>IF(C20,895,0)</f>
        <v>0</v>
      </c>
      <c r="F20" s="2"/>
      <c r="G20" s="2" t="s">
        <v>61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7" t="s">
        <v>65</v>
      </c>
      <c r="B21" s="2">
        <v>708.0</v>
      </c>
      <c r="C21" s="9"/>
      <c r="D21" s="2">
        <v>795.0</v>
      </c>
      <c r="E21" s="2">
        <f>IF(C21,795,0)</f>
        <v>0</v>
      </c>
      <c r="F21" s="2"/>
      <c r="G21" s="2" t="s">
        <v>61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6" t="s">
        <v>68</v>
      </c>
      <c r="B22" s="2">
        <v>27.0</v>
      </c>
      <c r="C22" s="9"/>
      <c r="D22" s="2">
        <v>30.0</v>
      </c>
      <c r="E22" s="2">
        <f>IF(C22,30,0)</f>
        <v>0</v>
      </c>
      <c r="F22" s="2"/>
      <c r="G22" s="2" t="s">
        <v>70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6" t="s">
        <v>71</v>
      </c>
      <c r="B23" s="2">
        <v>67.0</v>
      </c>
      <c r="C23" s="9"/>
      <c r="D23" s="2">
        <v>75.0</v>
      </c>
      <c r="E23" s="2">
        <f>IF(C23,75,0)</f>
        <v>0</v>
      </c>
      <c r="F23" s="2"/>
      <c r="G23" s="2" t="s">
        <v>72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6" t="s">
        <v>73</v>
      </c>
      <c r="B24" s="2">
        <v>1153.0</v>
      </c>
      <c r="C24" s="9"/>
      <c r="D24" s="2">
        <v>1295.0</v>
      </c>
      <c r="E24" s="2">
        <f>IF(C24,1295,0)</f>
        <v>0</v>
      </c>
      <c r="F24" s="2"/>
      <c r="G24" s="2" t="s">
        <v>75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8" t="s">
        <v>77</v>
      </c>
      <c r="B25" s="2">
        <v>708.0</v>
      </c>
      <c r="C25" s="9"/>
      <c r="D25" s="2">
        <v>795.0</v>
      </c>
      <c r="E25" s="2">
        <f>IF(C25,795,0)</f>
        <v>0</v>
      </c>
      <c r="F25" s="2"/>
      <c r="G25" s="2" t="s">
        <v>78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8" t="s">
        <v>79</v>
      </c>
      <c r="B26" s="2">
        <v>174.0</v>
      </c>
      <c r="C26" s="9"/>
      <c r="D26" s="2">
        <v>195.0</v>
      </c>
      <c r="E26" s="2">
        <f>IF(C26,195,0)</f>
        <v>0</v>
      </c>
      <c r="F26" s="2"/>
      <c r="G26" s="2" t="s">
        <v>80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6" t="s">
        <v>82</v>
      </c>
      <c r="B27" s="2">
        <v>116.0</v>
      </c>
      <c r="C27" s="9"/>
      <c r="D27" s="2">
        <v>130.0</v>
      </c>
      <c r="E27" s="2">
        <f>IF(C27,130,0)</f>
        <v>0</v>
      </c>
      <c r="F27" s="2"/>
      <c r="G27" s="2" t="s">
        <v>83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6" t="s">
        <v>84</v>
      </c>
      <c r="B28" s="2">
        <v>441.0</v>
      </c>
      <c r="C28" s="9"/>
      <c r="D28" s="2">
        <v>495.0</v>
      </c>
      <c r="E28" s="2">
        <f>IF(C28,525,0)</f>
        <v>0</v>
      </c>
      <c r="F28" s="2"/>
      <c r="G28" s="2" t="s">
        <v>85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6" t="s">
        <v>86</v>
      </c>
      <c r="B29" s="19" t="s">
        <v>87</v>
      </c>
      <c r="C29" s="9"/>
      <c r="D29" s="19" t="s">
        <v>87</v>
      </c>
      <c r="E29" s="2"/>
      <c r="F29" s="2"/>
      <c r="G29" s="2" t="s">
        <v>88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6" t="s">
        <v>90</v>
      </c>
      <c r="B30" s="2">
        <v>1242.0</v>
      </c>
      <c r="C30" s="9"/>
      <c r="D30" s="2">
        <v>1395.0</v>
      </c>
      <c r="E30" s="2">
        <f t="shared" ref="E30:E31" si="2">IF(C30,1495,0)</f>
        <v>0</v>
      </c>
      <c r="F30" s="2"/>
      <c r="G30" s="2" t="s">
        <v>91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17" t="s">
        <v>92</v>
      </c>
      <c r="B31" s="2">
        <v>1242.0</v>
      </c>
      <c r="C31" s="9"/>
      <c r="D31" s="2">
        <v>1395.0</v>
      </c>
      <c r="E31" s="2">
        <f t="shared" si="2"/>
        <v>0</v>
      </c>
      <c r="F31" s="2"/>
      <c r="G31" s="2" t="s">
        <v>93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20" t="s">
        <v>94</v>
      </c>
      <c r="B32" s="2"/>
      <c r="C32" s="2">
        <f>SUM(C2:C31)</f>
        <v>35710</v>
      </c>
      <c r="D32" s="2"/>
      <c r="E32" s="2">
        <f>SUM(E2:E31)</f>
        <v>37495</v>
      </c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21" t="s">
        <v>99</v>
      </c>
      <c r="B33" s="2">
        <f>PRODUCT(C32,0.99)</f>
        <v>35352.9</v>
      </c>
      <c r="C33" s="22"/>
      <c r="D33" s="2"/>
      <c r="E33" s="2"/>
      <c r="F33" s="2"/>
      <c r="G33" s="2"/>
      <c r="H33" s="23" t="s">
        <v>100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21" t="s">
        <v>101</v>
      </c>
      <c r="B34" s="2">
        <f>PRODUCT(C32,0.98)</f>
        <v>34995.8</v>
      </c>
      <c r="C34" s="22"/>
      <c r="D34" s="2"/>
      <c r="E34" s="2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21" t="s">
        <v>102</v>
      </c>
      <c r="B35" s="2">
        <f>PRODUCT(C32,0.97)</f>
        <v>34638.7</v>
      </c>
      <c r="C35" s="22"/>
      <c r="D35" s="2"/>
      <c r="E35" s="2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21" t="s">
        <v>103</v>
      </c>
      <c r="B36" s="2">
        <f>PRODUCT(C32,0.96)</f>
        <v>34281.6</v>
      </c>
      <c r="C36" s="22"/>
      <c r="D36" s="2"/>
      <c r="E36" s="2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21" t="s">
        <v>104</v>
      </c>
      <c r="B37" s="2">
        <f>PRODUCT(C32,0.95)</f>
        <v>33924.5</v>
      </c>
      <c r="C37" s="22"/>
      <c r="D37" s="2"/>
      <c r="E37" s="2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24" t="s">
        <v>105</v>
      </c>
      <c r="B38" s="25"/>
      <c r="C38" s="2">
        <f>SUM(C33:C37,-B38)</f>
        <v>0</v>
      </c>
      <c r="D38" s="2"/>
      <c r="E38" s="2">
        <f>SUM(E32,-B38)</f>
        <v>37495</v>
      </c>
      <c r="F38" s="2"/>
      <c r="G38" s="2"/>
      <c r="H38" s="26" t="s">
        <v>106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20" t="s">
        <v>107</v>
      </c>
      <c r="B39" s="2">
        <v>1445.0</v>
      </c>
      <c r="C39" s="2">
        <f>SUM(B39,C38)</f>
        <v>1445</v>
      </c>
      <c r="D39" s="2"/>
      <c r="E39" s="2">
        <f>SUM(E38,B39)</f>
        <v>38940</v>
      </c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24" t="s">
        <v>108</v>
      </c>
      <c r="B40" s="27"/>
      <c r="C40" s="2">
        <f>PRODUCT(C39,B40)</f>
        <v>1445</v>
      </c>
      <c r="D40" s="2"/>
      <c r="E40" s="2">
        <f>PRODUCT(E39,B40)</f>
        <v>38940</v>
      </c>
      <c r="F40" s="2"/>
      <c r="G40" s="2"/>
      <c r="H40" s="28" t="s">
        <v>109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20" t="s">
        <v>94</v>
      </c>
      <c r="B41" s="2"/>
      <c r="C41" s="2">
        <f>SUM(C39:C40)</f>
        <v>2890</v>
      </c>
      <c r="D41" s="2"/>
      <c r="E41" s="2">
        <f>SUM(E39:E40)</f>
        <v>77880</v>
      </c>
      <c r="F41" s="2"/>
      <c r="G41" s="2"/>
      <c r="H41" s="28" t="s">
        <v>110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25" right="0.25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12.29"/>
    <col customWidth="1" min="3" max="6" width="9.14"/>
    <col customWidth="1" min="7" max="7" width="10.57"/>
    <col customWidth="1" min="8" max="8" width="36.0"/>
    <col customWidth="1" min="9" max="26" width="8.71"/>
  </cols>
  <sheetData>
    <row r="1">
      <c r="A1" s="1" t="s">
        <v>0</v>
      </c>
      <c r="B1" s="1" t="s">
        <v>1</v>
      </c>
      <c r="C1" s="2"/>
      <c r="D1" s="1" t="s">
        <v>2</v>
      </c>
      <c r="E1" s="2"/>
      <c r="F1" s="2"/>
      <c r="G1" s="1" t="s">
        <v>3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9.25" customHeight="1">
      <c r="A2" s="4" t="s">
        <v>4</v>
      </c>
      <c r="B2" s="5">
        <v>27060.0</v>
      </c>
      <c r="C2" s="6">
        <v>27060.0</v>
      </c>
      <c r="D2" s="5">
        <v>27495.0</v>
      </c>
      <c r="E2" s="5">
        <v>27495.0</v>
      </c>
      <c r="F2" s="5"/>
      <c r="G2" s="5" t="s">
        <v>6</v>
      </c>
      <c r="H2" s="7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8" t="s">
        <v>9</v>
      </c>
      <c r="B3" s="2">
        <v>1780.0</v>
      </c>
      <c r="C3" s="9">
        <f>IF(C4,1780,0)</f>
        <v>0</v>
      </c>
      <c r="D3" s="2">
        <v>2000.0</v>
      </c>
      <c r="E3" s="2">
        <f>IF(C3,2000,0)</f>
        <v>0</v>
      </c>
      <c r="F3" s="2"/>
      <c r="G3" s="2" t="s">
        <v>11</v>
      </c>
      <c r="H3" s="7" t="s">
        <v>12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1" t="s">
        <v>13</v>
      </c>
      <c r="B4" s="1">
        <v>890.0</v>
      </c>
      <c r="C4" s="1"/>
      <c r="D4" s="1">
        <v>1000.0</v>
      </c>
      <c r="E4" s="1">
        <f>IF(C4,1000,0)</f>
        <v>0</v>
      </c>
      <c r="F4" s="1"/>
      <c r="G4" s="1" t="s">
        <v>14</v>
      </c>
      <c r="H4" s="11" t="s">
        <v>15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>
      <c r="A5" s="8" t="s">
        <v>21</v>
      </c>
      <c r="B5" s="2">
        <v>2848.0</v>
      </c>
      <c r="C5" s="9"/>
      <c r="D5" s="2">
        <v>3200.0</v>
      </c>
      <c r="E5" s="2">
        <f>IF(C5,3200,0)</f>
        <v>0</v>
      </c>
      <c r="F5" s="2"/>
      <c r="G5" s="2" t="s">
        <v>24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8" t="s">
        <v>25</v>
      </c>
      <c r="B6" s="2">
        <v>797.0</v>
      </c>
      <c r="C6" s="9"/>
      <c r="D6" s="2">
        <v>895.0</v>
      </c>
      <c r="E6" s="2">
        <f>IF(C6,895,0)</f>
        <v>0</v>
      </c>
      <c r="F6" s="2"/>
      <c r="G6" s="14" t="s">
        <v>28</v>
      </c>
      <c r="H6" s="15" t="s">
        <v>31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8" t="s">
        <v>34</v>
      </c>
      <c r="B7" s="2">
        <v>1153.0</v>
      </c>
      <c r="C7" s="9"/>
      <c r="D7" s="2">
        <v>1295.0</v>
      </c>
      <c r="E7" s="2">
        <f t="shared" ref="E7:E8" si="1">IF(C7,1295,0)</f>
        <v>0</v>
      </c>
      <c r="F7" s="2"/>
      <c r="G7" s="14" t="s">
        <v>35</v>
      </c>
      <c r="H7" s="15" t="s">
        <v>36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8" t="s">
        <v>37</v>
      </c>
      <c r="B8" s="2">
        <v>1153.0</v>
      </c>
      <c r="C8" s="9"/>
      <c r="D8" s="2">
        <v>1295.0</v>
      </c>
      <c r="E8" s="2">
        <f t="shared" si="1"/>
        <v>0</v>
      </c>
      <c r="F8" s="2"/>
      <c r="G8" s="14" t="s">
        <v>22</v>
      </c>
      <c r="H8" s="15" t="s">
        <v>31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8" t="s">
        <v>39</v>
      </c>
      <c r="B9" s="2">
        <v>530.0</v>
      </c>
      <c r="C9" s="9"/>
      <c r="D9" s="2">
        <v>595.0</v>
      </c>
      <c r="E9" s="2">
        <f>IF(C9,595,0)</f>
        <v>0</v>
      </c>
      <c r="F9" s="2"/>
      <c r="G9" s="2" t="s">
        <v>41</v>
      </c>
      <c r="H9" s="18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8" t="s">
        <v>23</v>
      </c>
      <c r="B10" s="2">
        <v>975.0</v>
      </c>
      <c r="C10" s="9"/>
      <c r="D10" s="2">
        <v>1095.0</v>
      </c>
      <c r="E10" s="2">
        <f>IF(C10,1095,0)</f>
        <v>0</v>
      </c>
      <c r="F10" s="2"/>
      <c r="G10" s="2" t="s">
        <v>26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6" t="s">
        <v>33</v>
      </c>
      <c r="B11" s="2">
        <v>797.0</v>
      </c>
      <c r="C11" s="9"/>
      <c r="D11" s="2">
        <v>895.0</v>
      </c>
      <c r="E11" s="2">
        <f>IF(C11,895,0)</f>
        <v>0</v>
      </c>
      <c r="F11" s="2"/>
      <c r="G11" s="14" t="s">
        <v>38</v>
      </c>
      <c r="H11" s="15" t="s">
        <v>47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7" t="s">
        <v>40</v>
      </c>
      <c r="B12" s="2">
        <v>530.0</v>
      </c>
      <c r="C12" s="9"/>
      <c r="D12" s="2">
        <v>595.0</v>
      </c>
      <c r="E12" s="2">
        <f>IF(C12,595,0)</f>
        <v>0</v>
      </c>
      <c r="F12" s="2"/>
      <c r="G12" s="14" t="s">
        <v>38</v>
      </c>
      <c r="H12" s="15" t="s">
        <v>47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6" t="s">
        <v>50</v>
      </c>
      <c r="B13" s="2">
        <v>352.0</v>
      </c>
      <c r="C13" s="9"/>
      <c r="D13" s="2">
        <v>395.0</v>
      </c>
      <c r="E13" s="2">
        <f>IF(C13,395,0)</f>
        <v>0</v>
      </c>
      <c r="F13" s="2"/>
      <c r="G13" s="14" t="s">
        <v>52</v>
      </c>
      <c r="H13" s="15" t="s">
        <v>31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7" t="s">
        <v>54</v>
      </c>
      <c r="B14" s="2">
        <v>174.0</v>
      </c>
      <c r="C14" s="9"/>
      <c r="D14" s="2">
        <v>195.0</v>
      </c>
      <c r="E14" s="2">
        <f>IF(C14,195,0)</f>
        <v>0</v>
      </c>
      <c r="F14" s="2"/>
      <c r="G14" s="14" t="s">
        <v>52</v>
      </c>
      <c r="H14" s="15" t="s">
        <v>31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7" t="s">
        <v>57</v>
      </c>
      <c r="B15" s="2">
        <v>441.0</v>
      </c>
      <c r="C15" s="9"/>
      <c r="D15" s="2">
        <v>495.0</v>
      </c>
      <c r="E15" s="2">
        <f>IF(C15,495,0)</f>
        <v>0</v>
      </c>
      <c r="F15" s="2"/>
      <c r="G15" s="14" t="s">
        <v>58</v>
      </c>
      <c r="H15" s="15" t="s">
        <v>36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8" t="s">
        <v>44</v>
      </c>
      <c r="B16" s="2">
        <v>85.0</v>
      </c>
      <c r="C16" s="9"/>
      <c r="D16" s="2">
        <v>95.0</v>
      </c>
      <c r="E16" s="2">
        <f>IF(C16,95,0)</f>
        <v>0</v>
      </c>
      <c r="F16" s="2"/>
      <c r="G16" s="2" t="s">
        <v>45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8" t="s">
        <v>46</v>
      </c>
      <c r="B17" s="2">
        <v>174.0</v>
      </c>
      <c r="C17" s="9"/>
      <c r="D17" s="2">
        <v>195.0</v>
      </c>
      <c r="E17" s="2">
        <f>IF(C17,195,0)</f>
        <v>0</v>
      </c>
      <c r="F17" s="2"/>
      <c r="G17" s="2" t="s">
        <v>48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8" t="s">
        <v>53</v>
      </c>
      <c r="B18" s="2">
        <v>530.0</v>
      </c>
      <c r="C18" s="9"/>
      <c r="D18" s="2">
        <v>595.0</v>
      </c>
      <c r="E18" s="2">
        <f>IF(C18,595,0)</f>
        <v>0</v>
      </c>
      <c r="F18" s="2"/>
      <c r="G18" s="14" t="s">
        <v>55</v>
      </c>
      <c r="H18" s="15" t="s">
        <v>31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8" t="s">
        <v>64</v>
      </c>
      <c r="B19" s="2">
        <v>797.0</v>
      </c>
      <c r="C19" s="9"/>
      <c r="D19" s="2">
        <v>895.0</v>
      </c>
      <c r="E19" s="2">
        <f>IF(C19,895,0)</f>
        <v>0</v>
      </c>
      <c r="F19" s="2"/>
      <c r="G19" s="14" t="s">
        <v>66</v>
      </c>
      <c r="H19" s="15" t="s">
        <v>31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8" t="s">
        <v>67</v>
      </c>
      <c r="B20" s="2">
        <v>263.0</v>
      </c>
      <c r="C20" s="9"/>
      <c r="D20" s="2">
        <v>295.0</v>
      </c>
      <c r="E20" s="2">
        <f>IF(C20,295,0)</f>
        <v>0</v>
      </c>
      <c r="F20" s="2"/>
      <c r="G20" s="2" t="s">
        <v>69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6" t="s">
        <v>68</v>
      </c>
      <c r="B21" s="2">
        <v>27.0</v>
      </c>
      <c r="C21" s="9"/>
      <c r="D21" s="2">
        <v>30.0</v>
      </c>
      <c r="E21" s="2">
        <f>IF(C21,30,0)</f>
        <v>0</v>
      </c>
      <c r="F21" s="2"/>
      <c r="G21" s="2" t="s">
        <v>70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6" t="s">
        <v>71</v>
      </c>
      <c r="B22" s="2">
        <v>67.0</v>
      </c>
      <c r="C22" s="9"/>
      <c r="D22" s="2">
        <v>75.0</v>
      </c>
      <c r="E22" s="2">
        <f>IF(C22,75,0)</f>
        <v>0</v>
      </c>
      <c r="F22" s="2"/>
      <c r="G22" s="14" t="s">
        <v>72</v>
      </c>
      <c r="H22" s="15" t="s">
        <v>31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6" t="s">
        <v>74</v>
      </c>
      <c r="B23" s="2">
        <v>886.0</v>
      </c>
      <c r="C23" s="9"/>
      <c r="D23" s="2">
        <v>995.0</v>
      </c>
      <c r="E23" s="2">
        <f>IF(C23,995,0)</f>
        <v>0</v>
      </c>
      <c r="F23" s="2"/>
      <c r="G23" s="14" t="s">
        <v>76</v>
      </c>
      <c r="H23" s="15" t="s">
        <v>31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8" t="s">
        <v>77</v>
      </c>
      <c r="B24" s="2">
        <v>708.0</v>
      </c>
      <c r="C24" s="9"/>
      <c r="D24" s="2">
        <v>795.0</v>
      </c>
      <c r="E24" s="2">
        <f>IF(C24,795,0)</f>
        <v>0</v>
      </c>
      <c r="F24" s="2"/>
      <c r="G24" s="2" t="s">
        <v>78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8" t="s">
        <v>79</v>
      </c>
      <c r="B25" s="2">
        <v>174.0</v>
      </c>
      <c r="C25" s="9"/>
      <c r="D25" s="2">
        <v>195.0</v>
      </c>
      <c r="E25" s="2">
        <f>IF(C25,195,0)</f>
        <v>0</v>
      </c>
      <c r="F25" s="2"/>
      <c r="G25" s="14" t="s">
        <v>80</v>
      </c>
      <c r="H25" s="15" t="s">
        <v>31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8" t="s">
        <v>81</v>
      </c>
      <c r="B26" s="2">
        <v>619.0</v>
      </c>
      <c r="C26" s="9"/>
      <c r="D26" s="2">
        <v>695.0</v>
      </c>
      <c r="E26" s="2">
        <f>IF(C26,695,0)</f>
        <v>0</v>
      </c>
      <c r="F26" s="2"/>
      <c r="G26" s="14" t="s">
        <v>89</v>
      </c>
      <c r="H26" s="15" t="s">
        <v>31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6" t="s">
        <v>82</v>
      </c>
      <c r="B27" s="2">
        <v>116.0</v>
      </c>
      <c r="C27" s="9"/>
      <c r="D27" s="2">
        <v>130.0</v>
      </c>
      <c r="E27" s="2">
        <f>IF(C27,130,0)</f>
        <v>0</v>
      </c>
      <c r="F27" s="2"/>
      <c r="G27" s="2" t="s">
        <v>83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6" t="s">
        <v>84</v>
      </c>
      <c r="B28" s="2">
        <v>467.0</v>
      </c>
      <c r="C28" s="9"/>
      <c r="D28" s="2">
        <v>525.0</v>
      </c>
      <c r="E28" s="2">
        <f>IF(C28,525,0)</f>
        <v>0</v>
      </c>
      <c r="F28" s="2"/>
      <c r="G28" s="14" t="s">
        <v>85</v>
      </c>
      <c r="H28" s="15" t="s">
        <v>31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6" t="s">
        <v>95</v>
      </c>
      <c r="B29" s="19" t="s">
        <v>87</v>
      </c>
      <c r="C29" s="9"/>
      <c r="D29" s="19" t="s">
        <v>87</v>
      </c>
      <c r="E29" s="2"/>
      <c r="F29" s="2"/>
      <c r="G29" s="2" t="s">
        <v>96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7" t="s">
        <v>97</v>
      </c>
      <c r="B30" s="19" t="s">
        <v>87</v>
      </c>
      <c r="C30" s="9"/>
      <c r="D30" s="19" t="s">
        <v>87</v>
      </c>
      <c r="E30" s="2"/>
      <c r="F30" s="2"/>
      <c r="G30" s="2" t="s">
        <v>98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20" t="s">
        <v>94</v>
      </c>
      <c r="B31" s="2"/>
      <c r="C31" s="2">
        <f>SUM(C2:C30)</f>
        <v>27060</v>
      </c>
      <c r="D31" s="2"/>
      <c r="E31" s="2">
        <f>SUM(E2:E30)</f>
        <v>27495</v>
      </c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21" t="s">
        <v>99</v>
      </c>
      <c r="B32" s="2">
        <f>PRODUCT(C31,0.99)</f>
        <v>26789.4</v>
      </c>
      <c r="C32" s="22"/>
      <c r="D32" s="2"/>
      <c r="E32" s="2"/>
      <c r="F32" s="2"/>
      <c r="G32" s="2"/>
      <c r="H32" s="23" t="s">
        <v>100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21" t="s">
        <v>101</v>
      </c>
      <c r="B33" s="2">
        <f>PRODUCT(C31,0.98)</f>
        <v>26518.8</v>
      </c>
      <c r="C33" s="22"/>
      <c r="D33" s="2"/>
      <c r="E33" s="2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21" t="s">
        <v>102</v>
      </c>
      <c r="B34" s="2">
        <f>PRODUCT(C31,0.97)</f>
        <v>26248.2</v>
      </c>
      <c r="C34" s="22"/>
      <c r="D34" s="2"/>
      <c r="E34" s="2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21" t="s">
        <v>103</v>
      </c>
      <c r="B35" s="2">
        <f>PRODUCT(C31,0.96)</f>
        <v>25977.6</v>
      </c>
      <c r="C35" s="22"/>
      <c r="D35" s="2"/>
      <c r="E35" s="2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21" t="s">
        <v>104</v>
      </c>
      <c r="B36" s="2">
        <f>PRODUCT(C31,0.95)</f>
        <v>25707</v>
      </c>
      <c r="C36" s="22"/>
      <c r="D36" s="2"/>
      <c r="E36" s="2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24" t="s">
        <v>105</v>
      </c>
      <c r="B37" s="25"/>
      <c r="C37" s="2">
        <f>SUM(C32:C36,-B37)</f>
        <v>0</v>
      </c>
      <c r="D37" s="2"/>
      <c r="E37" s="2">
        <f>SUM(E31,-B37)</f>
        <v>27495</v>
      </c>
      <c r="F37" s="2"/>
      <c r="G37" s="2"/>
      <c r="H37" s="26" t="s">
        <v>106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20" t="s">
        <v>107</v>
      </c>
      <c r="B38" s="2">
        <v>1445.0</v>
      </c>
      <c r="C38" s="2">
        <f>SUM(B38,C37)</f>
        <v>1445</v>
      </c>
      <c r="D38" s="2"/>
      <c r="E38" s="2">
        <f>SUM(E37,B38)</f>
        <v>28940</v>
      </c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24" t="s">
        <v>108</v>
      </c>
      <c r="B39" s="27"/>
      <c r="C39" s="2">
        <f>PRODUCT(C38,B39)</f>
        <v>1445</v>
      </c>
      <c r="D39" s="2"/>
      <c r="E39" s="2">
        <f>PRODUCT(E38,B39)</f>
        <v>28940</v>
      </c>
      <c r="F39" s="2"/>
      <c r="G39" s="2"/>
      <c r="H39" s="28" t="s">
        <v>109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20" t="s">
        <v>94</v>
      </c>
      <c r="B40" s="2"/>
      <c r="C40" s="2">
        <f>SUM(C38:C39)</f>
        <v>2890</v>
      </c>
      <c r="D40" s="2"/>
      <c r="E40" s="2">
        <f>SUM(E38:E39)</f>
        <v>57880</v>
      </c>
      <c r="F40" s="2"/>
      <c r="G40" s="2"/>
      <c r="H40" s="28" t="s">
        <v>110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